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March 22, 2017\"/>
    </mc:Choice>
  </mc:AlternateContent>
  <bookViews>
    <workbookView xWindow="-345" yWindow="-15" windowWidth="9750" windowHeight="12015"/>
  </bookViews>
  <sheets>
    <sheet name="22-03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'22-03-17'!$A$12:$F$68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'22-03-17'!$A$11:$F$64</definedName>
  </definedNames>
  <calcPr calcId="152511"/>
</workbook>
</file>

<file path=xl/calcChain.xml><?xml version="1.0" encoding="utf-8"?>
<calcChain xmlns="http://schemas.openxmlformats.org/spreadsheetml/2006/main">
  <c r="F34" i="1" l="1"/>
  <c r="F31" i="1"/>
  <c r="F52" i="1"/>
  <c r="F45" i="1"/>
  <c r="F42" i="1"/>
  <c r="F40" i="1"/>
  <c r="F53" i="1" l="1"/>
  <c r="F50" i="1"/>
  <c r="F23" i="1"/>
  <c r="F22" i="1"/>
  <c r="F21" i="1"/>
  <c r="B53" i="1"/>
  <c r="B52" i="1"/>
  <c r="B50" i="1"/>
  <c r="B45" i="1"/>
  <c r="B42" i="1"/>
  <c r="B40" i="1"/>
  <c r="B34" i="1"/>
  <c r="B31" i="1"/>
  <c r="B22" i="1"/>
  <c r="B21" i="1"/>
  <c r="D53" i="1" l="1"/>
  <c r="D52" i="1"/>
  <c r="D50" i="1"/>
  <c r="D45" i="1"/>
  <c r="D42" i="1"/>
  <c r="D40" i="1"/>
  <c r="D34" i="1"/>
  <c r="D31" i="1"/>
  <c r="D23" i="1"/>
  <c r="D22" i="1"/>
  <c r="D21" i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24" i="1" l="1"/>
  <c r="F54" i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<sst xmlns="http://schemas.openxmlformats.org/spreadsheetml/2006/main" count="210" uniqueCount="93">
  <si>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</si>
  <si>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</si>
  <si>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</si>
  <si>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</si>
  <si>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</si>
  <si>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</si>
  <si>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</si>
  <si>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</si>
  <si>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</si>
  <si>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</si>
  <si>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</si>
  <si>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</si>
  <si>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</si>
  <si>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</si>
  <si>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</si>
  <si>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</si>
  <si>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</si>
  <si>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</si>
  <si>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</si>
  <si>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</si>
  <si>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</si>
  <si>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</si>
  <si>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</si>
  <si>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</si>
  <si>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</si>
  <si>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</si>
  <si>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</si>
  <si>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</si>
  <si>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</si>
  <si>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</si>
  <si>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</si>
  <si>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</si>
  <si>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</si>
  <si>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</si>
  <si>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</si>
  <si>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</si>
  <si>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</si>
  <si>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</si>
  <si>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</si>
  <si>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</si>
  <si>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</si>
  <si>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</si>
  <si>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</si>
  <si>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</si>
  <si>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</si>
  <si>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</si>
  <si>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</si>
  <si>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</si>
  <si>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</si>
  <si>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</si>
  <si>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</si>
  <si>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</si>
  <si>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</si>
  <si>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</si>
  <si>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</si>
  <si>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</si>
  <si>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</si>
  <si>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</si>
  <si>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</si>
  <si>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</si>
  <si>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</si>
  <si>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</si>
  <si>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</si>
  <si>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</si>
  <si>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</si>
  <si>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</si>
  <si>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</si>
  <si>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</si>
  <si>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</si>
  <si>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</si>
  <si>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</si>
  <si>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</si>
  <si>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</si>
  <si>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</si>
  <si>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</si>
  <si>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</si>
  <si>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</si>
  <si>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</si>
  <si>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</si>
  <si>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</si>
  <si>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</si>
  <si>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</si>
  <si>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</si>
  <si>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</si>
  <si>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</si>
  <si>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</si>
  <si>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</si>
  <si>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</si>
  <si>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08 MARCH</t>
  </si>
  <si>
    <t>22 MARCH</t>
  </si>
  <si>
    <t>As At 22 MARCH 2017</t>
  </si>
  <si>
    <t>23 MARCH</t>
  </si>
  <si>
    <r>
      <t xml:space="preserve">* </t>
    </r>
    <r>
      <rPr>
        <sz val="12"/>
        <rFont val="Arial Unicode MS"/>
        <family val="2"/>
      </rPr>
      <t>The year to date loss of $0.90bn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</si>
</sst>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8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43" fontId="41" fillId="0" borderId="0" xfId="2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99CCFF"/>
      <color rgb="FFD9D9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110756</xdr:colOff>
      <xdr:row>0</xdr:row>
      <xdr:rowOff>110756</xdr:rowOff>
    </xdr:from>
    <xdr:to>
      <xdr:col>5</xdr:col>
      <xdr:colOff>1575075</xdr:colOff>
      <xdr:row>8</xdr:row>
      <xdr:rowOff>155058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56" y="110756"/>
          <a:ext cx="8486238" cy="1550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1"/>
  <sheetViews>
    <sheetView tabSelected="1" showOutlineSymbols="0" zoomScale="86" zoomScaleNormal="86" zoomScaleSheetLayoutView="75" workbookViewId="0">
      <selection activeCell="G13" sqref="G13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156"/>
    </row>
    <row r="2" spans="1:6">
      <c r="A2" s="3"/>
      <c r="B2" s="4"/>
      <c r="C2" s="4"/>
      <c r="D2" s="4"/>
      <c r="F2" s="157"/>
    </row>
    <row r="3" spans="1:6">
      <c r="A3" s="3"/>
      <c r="B3" s="4"/>
      <c r="C3" s="4"/>
      <c r="D3" s="4"/>
      <c r="F3" s="157"/>
    </row>
    <row r="4" spans="1:6">
      <c r="A4" s="3"/>
      <c r="B4" s="4"/>
      <c r="C4" s="4"/>
      <c r="D4" s="4"/>
      <c r="F4" s="157"/>
    </row>
    <row r="5" spans="1:6">
      <c r="A5" s="3"/>
      <c r="B5" s="4"/>
      <c r="C5" s="4"/>
      <c r="D5" s="4"/>
      <c r="F5" s="157"/>
    </row>
    <row r="6" spans="1:6">
      <c r="A6" s="3"/>
      <c r="B6" s="4"/>
      <c r="C6" s="4"/>
      <c r="D6" s="4"/>
      <c r="F6" s="157"/>
    </row>
    <row r="7" spans="1:6">
      <c r="A7" s="3"/>
      <c r="B7" s="4"/>
      <c r="C7" s="4"/>
      <c r="D7" s="4"/>
      <c r="F7" s="157"/>
    </row>
    <row r="8" spans="1:6">
      <c r="A8" s="3"/>
      <c r="B8" s="4"/>
      <c r="C8" s="4"/>
      <c r="D8" s="4"/>
      <c r="F8" s="157"/>
    </row>
    <row r="9" spans="1:6">
      <c r="A9" s="3"/>
      <c r="B9" s="4"/>
      <c r="C9" s="4"/>
      <c r="D9" s="4"/>
      <c r="F9" s="157"/>
    </row>
    <row r="10" spans="1:6" ht="41.25">
      <c r="A10" s="5" t="s">
        <v>0</v>
      </c>
      <c r="B10" s="6"/>
      <c r="C10" s="7"/>
      <c r="D10" s="7"/>
      <c r="E10" s="7"/>
      <c r="F10" s="6"/>
    </row>
    <row r="11" spans="1:6" ht="15.75">
      <c r="A11" s="8"/>
      <c r="B11" s="9"/>
      <c r="C11" s="10"/>
      <c r="D11" s="9"/>
      <c r="E11" s="10"/>
      <c r="F11" s="158"/>
    </row>
    <row r="12" spans="1:6" s="14" customFormat="1" ht="20.25">
      <c r="A12" s="143" t="s">
        <v>1</v>
      </c>
      <c r="B12" s="144"/>
      <c r="C12" s="145"/>
      <c r="D12" s="144"/>
      <c r="E12" s="145"/>
      <c r="F12" s="144"/>
    </row>
    <row r="13" spans="1:6" s="14" customFormat="1" ht="20.25">
      <c r="A13" s="146" t="s">
        <v>2</v>
      </c>
      <c r="B13" s="147"/>
      <c r="C13" s="148"/>
      <c r="D13" s="147"/>
      <c r="E13" s="148"/>
      <c r="F13" s="147"/>
    </row>
    <row r="14" spans="1:6" s="14" customFormat="1" ht="20.25">
      <c r="A14" s="149" t="s">
        <v>90</v>
      </c>
      <c r="B14" s="147"/>
      <c r="C14" s="148"/>
      <c r="D14" s="147"/>
      <c r="E14" s="148"/>
      <c r="F14" s="147"/>
    </row>
    <row r="15" spans="1:6" s="14" customFormat="1" ht="17.25">
      <c r="A15" s="150" t="s">
        <v>3</v>
      </c>
      <c r="B15" s="151"/>
      <c r="C15" s="151"/>
      <c r="D15" s="151"/>
      <c r="E15" s="151"/>
      <c r="F15" s="159"/>
    </row>
    <row r="16" spans="1:6" s="14" customFormat="1" ht="17.25">
      <c r="A16" s="21"/>
      <c r="B16" s="168">
        <v>2016</v>
      </c>
      <c r="C16" s="169"/>
      <c r="D16" s="168">
        <v>2017</v>
      </c>
      <c r="E16" s="170"/>
      <c r="F16" s="168">
        <v>2017</v>
      </c>
    </row>
    <row r="17" spans="1:6" s="14" customFormat="1" ht="17.25">
      <c r="A17" s="21"/>
      <c r="B17" s="171" t="s">
        <v>91</v>
      </c>
      <c r="C17" s="172"/>
      <c r="D17" s="171" t="s">
        <v>88</v>
      </c>
      <c r="E17" s="172"/>
      <c r="F17" s="171" t="s">
        <v>89</v>
      </c>
    </row>
    <row r="18" spans="1:6" s="14" customFormat="1" ht="17.25">
      <c r="A18" s="21"/>
      <c r="B18" s="173" t="s">
        <v>5</v>
      </c>
      <c r="C18" s="172"/>
      <c r="D18" s="173" t="s">
        <v>5</v>
      </c>
      <c r="E18" s="172"/>
      <c r="F18" s="173" t="s">
        <v>5</v>
      </c>
    </row>
    <row r="19" spans="1:6" s="14" customFormat="1" ht="17.25">
      <c r="A19" s="25" t="s">
        <v>6</v>
      </c>
      <c r="B19" s="174"/>
      <c r="C19" s="175"/>
      <c r="D19" s="174"/>
      <c r="E19" s="175"/>
      <c r="F19" s="174"/>
    </row>
    <row r="20" spans="1:6" s="14" customFormat="1" ht="17.25">
      <c r="A20" s="27" t="s">
        <v>7</v>
      </c>
      <c r="B20" s="174"/>
      <c r="C20" s="175"/>
      <c r="D20" s="174"/>
      <c r="E20" s="175"/>
      <c r="F20" s="174"/>
    </row>
    <row r="21" spans="1:6" s="14" customFormat="1" ht="17.25">
      <c r="A21" s="21" t="s">
        <v>8</v>
      </c>
      <c r="B21" s="70">
        <f>6119996-4067</f>
        <v>6115929</v>
      </c>
      <c r="C21" s="160"/>
      <c r="D21" s="70">
        <f>4218872-3478</f>
        <v>4215394</v>
      </c>
      <c r="E21" s="160"/>
      <c r="F21" s="70">
        <f>4230055-3483</f>
        <v>4226572</v>
      </c>
    </row>
    <row r="22" spans="1:6" s="14" customFormat="1" ht="17.25">
      <c r="A22" s="21" t="s">
        <v>9</v>
      </c>
      <c r="B22" s="70">
        <f>145933+192139439+58036649-6119996+4067+57303386+9609027+18</f>
        <v>311118523</v>
      </c>
      <c r="C22" s="160"/>
      <c r="D22" s="70">
        <f>112701+259349487+73535917+44353399+2925+10060734-4215394+1448207</f>
        <v>384647976</v>
      </c>
      <c r="E22" s="160"/>
      <c r="F22" s="70">
        <f>116347+262514117+73660055+44491701+78+10060734+1323553-4226572</f>
        <v>387940013</v>
      </c>
    </row>
    <row r="23" spans="1:6" s="14" customFormat="1" ht="17.25">
      <c r="A23" s="21" t="s">
        <v>42</v>
      </c>
      <c r="B23" s="70">
        <v>30524846</v>
      </c>
      <c r="C23" s="160"/>
      <c r="D23" s="70">
        <f>29647875+81344</f>
        <v>29729219</v>
      </c>
      <c r="E23" s="160"/>
      <c r="F23" s="70">
        <f>30019585+81344</f>
        <v>30100929</v>
      </c>
    </row>
    <row r="24" spans="1:6" s="14" customFormat="1" ht="17.25">
      <c r="A24" s="153" t="s">
        <v>10</v>
      </c>
      <c r="B24" s="71">
        <f>+B21+B22+B23</f>
        <v>347759298</v>
      </c>
      <c r="C24" s="161"/>
      <c r="D24" s="71">
        <f>+D21+D22+D23</f>
        <v>418592589</v>
      </c>
      <c r="E24" s="161"/>
      <c r="F24" s="71">
        <f>+F21+F22+F23</f>
        <v>422267514</v>
      </c>
    </row>
    <row r="25" spans="1:6" s="14" customFormat="1" ht="17.25">
      <c r="A25" s="21"/>
      <c r="B25" s="70"/>
      <c r="C25" s="160"/>
      <c r="D25" s="70"/>
      <c r="E25" s="160"/>
      <c r="F25" s="70"/>
    </row>
    <row r="26" spans="1:6" s="14" customFormat="1" ht="17.25">
      <c r="A26" s="27" t="s">
        <v>11</v>
      </c>
      <c r="B26" s="70"/>
      <c r="C26" s="160"/>
      <c r="D26" s="70"/>
      <c r="E26" s="160"/>
      <c r="F26" s="70"/>
    </row>
    <row r="27" spans="1:6" s="14" customFormat="1" ht="17.25">
      <c r="A27" s="21" t="s">
        <v>12</v>
      </c>
      <c r="B27" s="70" t="s">
        <v>13</v>
      </c>
      <c r="C27" s="160"/>
      <c r="D27" s="70" t="s">
        <v>13</v>
      </c>
      <c r="E27" s="160"/>
      <c r="F27" s="70" t="s">
        <v>13</v>
      </c>
    </row>
    <row r="28" spans="1:6" s="14" customFormat="1" ht="17.25">
      <c r="A28" s="21" t="s">
        <v>44</v>
      </c>
      <c r="B28" s="70">
        <v>116144356</v>
      </c>
      <c r="C28" s="160"/>
      <c r="D28" s="70">
        <v>124894267</v>
      </c>
      <c r="E28" s="160"/>
      <c r="F28" s="70">
        <v>124993222</v>
      </c>
    </row>
    <row r="29" spans="1:6" s="14" customFormat="1" ht="17.25" hidden="1">
      <c r="A29" s="21" t="s">
        <v>14</v>
      </c>
      <c r="B29" s="70">
        <v>0</v>
      </c>
      <c r="C29" s="160"/>
      <c r="D29" s="70">
        <v>0</v>
      </c>
      <c r="E29" s="160"/>
      <c r="F29" s="70">
        <v>0</v>
      </c>
    </row>
    <row r="30" spans="1:6" s="14" customFormat="1" ht="17.25" hidden="1">
      <c r="A30" s="21" t="s">
        <v>15</v>
      </c>
      <c r="B30" s="70">
        <v>0</v>
      </c>
      <c r="C30" s="160"/>
      <c r="D30" s="70">
        <v>0</v>
      </c>
      <c r="E30" s="160"/>
      <c r="F30" s="70">
        <v>0</v>
      </c>
    </row>
    <row r="31" spans="1:6" s="14" customFormat="1" ht="17.25">
      <c r="A31" s="21" t="s">
        <v>86</v>
      </c>
      <c r="B31" s="70">
        <f>28304880+956846</f>
        <v>29261726</v>
      </c>
      <c r="C31" s="162"/>
      <c r="D31" s="70">
        <f>24948117+240833</f>
        <v>25188950</v>
      </c>
      <c r="E31" s="160"/>
      <c r="F31" s="70">
        <f>24948117+904726</f>
        <v>25852843</v>
      </c>
    </row>
    <row r="32" spans="1:6" s="14" customFormat="1" ht="17.25" customHeight="1">
      <c r="A32" s="21" t="s">
        <v>16</v>
      </c>
      <c r="B32" s="70">
        <v>15289107</v>
      </c>
      <c r="C32" s="163"/>
      <c r="D32" s="70">
        <v>4700000</v>
      </c>
      <c r="E32" s="164"/>
      <c r="F32" s="70">
        <v>7350000</v>
      </c>
    </row>
    <row r="33" spans="1:54" s="14" customFormat="1" ht="17.25" hidden="1">
      <c r="A33" s="21" t="s">
        <v>17</v>
      </c>
      <c r="B33" s="70">
        <v>0</v>
      </c>
      <c r="C33" s="160"/>
      <c r="D33" s="70">
        <v>0</v>
      </c>
      <c r="E33" s="160"/>
      <c r="F33" s="70">
        <v>0</v>
      </c>
    </row>
    <row r="34" spans="1:54" s="14" customFormat="1" ht="17.25">
      <c r="A34" s="21" t="s">
        <v>18</v>
      </c>
      <c r="B34" s="70">
        <f>137147+4595264-120261+1086+1343774+32656557-15289107</f>
        <v>23324460</v>
      </c>
      <c r="C34" s="160"/>
      <c r="D34" s="70">
        <f>4735766-27589-2501+1233291+22566051-D32+118255</f>
        <v>23923273</v>
      </c>
      <c r="E34" s="160"/>
      <c r="F34" s="70">
        <f>4737072+94-2501+1467053+25276318-F32+143793</f>
        <v>24271829</v>
      </c>
    </row>
    <row r="35" spans="1:54" s="14" customFormat="1" ht="17.25">
      <c r="A35" s="27" t="s">
        <v>19</v>
      </c>
      <c r="B35" s="74">
        <f>SUM(B28:B34)</f>
        <v>184019649</v>
      </c>
      <c r="C35" s="152"/>
      <c r="D35" s="74">
        <f>SUM(D28:D34)</f>
        <v>178706490</v>
      </c>
      <c r="E35" s="152"/>
      <c r="F35" s="74">
        <f>SUM(F28:F34)</f>
        <v>182467894</v>
      </c>
    </row>
    <row r="36" spans="1:54" s="14" customFormat="1" ht="18" thickBot="1">
      <c r="A36" s="25" t="s">
        <v>20</v>
      </c>
      <c r="B36" s="75">
        <f>+B35+B24</f>
        <v>531778947</v>
      </c>
      <c r="C36" s="152"/>
      <c r="D36" s="75">
        <f>+D35+D24</f>
        <v>597299079</v>
      </c>
      <c r="E36" s="152"/>
      <c r="F36" s="75">
        <f>+F35+F24</f>
        <v>604735408</v>
      </c>
    </row>
    <row r="37" spans="1:54" s="14" customFormat="1" ht="18" thickTop="1">
      <c r="A37" s="21"/>
      <c r="B37" s="70"/>
      <c r="C37" s="160"/>
      <c r="D37" s="70"/>
      <c r="E37" s="160"/>
      <c r="F37" s="70"/>
    </row>
    <row r="38" spans="1:54" s="14" customFormat="1" ht="17.25">
      <c r="A38" s="25" t="s">
        <v>21</v>
      </c>
      <c r="B38" s="70"/>
      <c r="C38" s="160"/>
      <c r="D38" s="70"/>
      <c r="E38" s="160"/>
      <c r="F38" s="70"/>
    </row>
    <row r="39" spans="1:54" s="14" customFormat="1" ht="17.25">
      <c r="A39" s="27" t="s">
        <v>22</v>
      </c>
      <c r="B39" s="76"/>
      <c r="C39" s="160"/>
      <c r="D39" s="76"/>
      <c r="E39" s="160"/>
      <c r="F39" s="76"/>
    </row>
    <row r="40" spans="1:54" s="14" customFormat="1" ht="17.25">
      <c r="A40" s="21" t="s">
        <v>23</v>
      </c>
      <c r="B40" s="70">
        <f>75091873+3540522</f>
        <v>78632395</v>
      </c>
      <c r="C40" s="160"/>
      <c r="D40" s="70">
        <f>83650244+4005202</f>
        <v>87655446</v>
      </c>
      <c r="E40" s="160"/>
      <c r="F40" s="70">
        <f>83823691+4023142</f>
        <v>87846833</v>
      </c>
    </row>
    <row r="41" spans="1:54" s="14" customFormat="1" ht="17.25">
      <c r="A41" s="21" t="s">
        <v>24</v>
      </c>
      <c r="B41" s="76"/>
      <c r="C41" s="160"/>
      <c r="D41" s="76"/>
      <c r="E41" s="160"/>
      <c r="F41" s="76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</row>
    <row r="42" spans="1:54" s="14" customFormat="1" ht="17.25">
      <c r="A42" s="21" t="s">
        <v>25</v>
      </c>
      <c r="B42" s="70">
        <f>29828981+38195+40459804+1212367+6609</f>
        <v>71545956</v>
      </c>
      <c r="C42" s="160"/>
      <c r="D42" s="70">
        <f>31153336+59180+63833849+1470995+15327</f>
        <v>96532687</v>
      </c>
      <c r="E42" s="160"/>
      <c r="F42" s="70">
        <f>43802677+52384+63034136+1470211+15735</f>
        <v>108375143</v>
      </c>
    </row>
    <row r="43" spans="1:54" s="14" customFormat="1" ht="17.25">
      <c r="A43" s="21" t="s">
        <v>26</v>
      </c>
      <c r="B43" s="70">
        <v>52629451</v>
      </c>
      <c r="C43" s="160"/>
      <c r="D43" s="70">
        <v>71413029</v>
      </c>
      <c r="E43" s="160"/>
      <c r="F43" s="70">
        <v>71413029</v>
      </c>
    </row>
    <row r="44" spans="1:54" s="14" customFormat="1" ht="17.25">
      <c r="A44" s="21" t="s">
        <v>27</v>
      </c>
      <c r="B44" s="70">
        <v>85115329</v>
      </c>
      <c r="C44" s="160"/>
      <c r="D44" s="70">
        <v>108296092</v>
      </c>
      <c r="E44" s="160"/>
      <c r="F44" s="70">
        <v>107886479</v>
      </c>
    </row>
    <row r="45" spans="1:54" s="14" customFormat="1" ht="17.25">
      <c r="A45" s="21" t="s">
        <v>28</v>
      </c>
      <c r="B45" s="70">
        <f>45565051-38195-40459804-1212367-6609</f>
        <v>3848076</v>
      </c>
      <c r="C45" s="160"/>
      <c r="D45" s="70">
        <f>67866243-59180-63833849-1470995-15327</f>
        <v>2486892</v>
      </c>
      <c r="E45" s="160"/>
      <c r="F45" s="70">
        <f>66970350-52384-63034136-1470211-15735</f>
        <v>2397884</v>
      </c>
    </row>
    <row r="46" spans="1:54" s="14" customFormat="1" ht="17.25">
      <c r="A46" s="27" t="s">
        <v>29</v>
      </c>
      <c r="B46" s="74">
        <f>SUM(B40:B45)</f>
        <v>291771207</v>
      </c>
      <c r="C46" s="152"/>
      <c r="D46" s="74">
        <f>SUM(D40:D45)</f>
        <v>366384146</v>
      </c>
      <c r="E46" s="152"/>
      <c r="F46" s="74">
        <f>SUM(F40:F45)</f>
        <v>377919368</v>
      </c>
    </row>
    <row r="47" spans="1:54" s="14" customFormat="1" ht="17.25">
      <c r="A47" s="33"/>
      <c r="B47" s="70"/>
      <c r="C47" s="160"/>
      <c r="D47" s="70"/>
      <c r="E47" s="160"/>
      <c r="F47" s="70"/>
    </row>
    <row r="48" spans="1:54" s="14" customFormat="1" ht="17.25">
      <c r="A48" s="27" t="s">
        <v>30</v>
      </c>
      <c r="B48" s="70"/>
      <c r="C48" s="160"/>
      <c r="D48" s="70"/>
      <c r="E48" s="160"/>
      <c r="F48" s="70"/>
    </row>
    <row r="49" spans="1:6" s="14" customFormat="1" ht="17.25">
      <c r="A49" s="21" t="s">
        <v>43</v>
      </c>
      <c r="B49" s="70">
        <v>44506988</v>
      </c>
      <c r="C49" s="160"/>
      <c r="D49" s="70">
        <v>45058851</v>
      </c>
      <c r="E49" s="160"/>
      <c r="F49" s="70">
        <v>45623775</v>
      </c>
    </row>
    <row r="50" spans="1:6" s="14" customFormat="1" ht="17.25">
      <c r="A50" s="21" t="s">
        <v>31</v>
      </c>
      <c r="B50" s="70">
        <f>181238+28106</f>
        <v>209344</v>
      </c>
      <c r="C50" s="160"/>
      <c r="D50" s="70">
        <f>47871-74943+81344</f>
        <v>54272</v>
      </c>
      <c r="E50" s="160"/>
      <c r="F50" s="70">
        <f>46447-65010+81344</f>
        <v>62781</v>
      </c>
    </row>
    <row r="51" spans="1:6" s="14" customFormat="1" ht="17.25">
      <c r="A51" s="154" t="s">
        <v>32</v>
      </c>
      <c r="B51" s="70">
        <v>178379134</v>
      </c>
      <c r="C51" s="160"/>
      <c r="D51" s="70">
        <v>173104423</v>
      </c>
      <c r="E51" s="160"/>
      <c r="F51" s="70">
        <v>167443806</v>
      </c>
    </row>
    <row r="52" spans="1:6" s="14" customFormat="1" ht="17.25" hidden="1" customHeight="1">
      <c r="A52" s="21" t="s">
        <v>85</v>
      </c>
      <c r="B52" s="70">
        <f>-956846+956846</f>
        <v>0</v>
      </c>
      <c r="C52" s="160"/>
      <c r="D52" s="70">
        <f>2796278-3037111+240833</f>
        <v>0</v>
      </c>
      <c r="E52" s="160"/>
      <c r="F52" s="70">
        <f>3453757-4358483+904726</f>
        <v>0</v>
      </c>
    </row>
    <row r="53" spans="1:6" s="14" customFormat="1" ht="17.25">
      <c r="A53" s="21" t="s">
        <v>33</v>
      </c>
      <c r="B53" s="70">
        <f>2587119+1690909+2828523</f>
        <v>7106551</v>
      </c>
      <c r="C53" s="160"/>
      <c r="D53" s="70">
        <f>-879556+1458049+2775705</f>
        <v>3354198</v>
      </c>
      <c r="E53" s="152"/>
      <c r="F53" s="70">
        <f>4641+1540299+2778002</f>
        <v>4322942</v>
      </c>
    </row>
    <row r="54" spans="1:6" s="14" customFormat="1" ht="17.25">
      <c r="A54" s="27" t="s">
        <v>34</v>
      </c>
      <c r="B54" s="74">
        <f>SUM(B49:B53)</f>
        <v>230202017</v>
      </c>
      <c r="C54" s="152"/>
      <c r="D54" s="74">
        <f>SUM(D49:D53)</f>
        <v>221571744</v>
      </c>
      <c r="E54" s="160"/>
      <c r="F54" s="74">
        <f>SUM(F49:F53)</f>
        <v>217453304</v>
      </c>
    </row>
    <row r="55" spans="1:6" s="14" customFormat="1" ht="17.25">
      <c r="A55" s="21"/>
      <c r="B55" s="70"/>
      <c r="C55" s="160"/>
      <c r="D55" s="70"/>
      <c r="E55" s="160"/>
      <c r="F55" s="70"/>
    </row>
    <row r="56" spans="1:6" s="14" customFormat="1" ht="17.25">
      <c r="A56" s="27" t="s">
        <v>35</v>
      </c>
      <c r="B56" s="70"/>
      <c r="C56" s="160"/>
      <c r="D56" s="70"/>
      <c r="E56" s="160"/>
      <c r="F56" s="70"/>
    </row>
    <row r="57" spans="1:6" s="14" customFormat="1" ht="17.25">
      <c r="A57" s="21" t="s">
        <v>36</v>
      </c>
      <c r="B57" s="70"/>
      <c r="C57" s="160"/>
      <c r="D57" s="70"/>
      <c r="E57" s="160"/>
      <c r="F57" s="70"/>
    </row>
    <row r="58" spans="1:6" s="14" customFormat="1" ht="17.25">
      <c r="A58" s="21" t="s">
        <v>37</v>
      </c>
      <c r="B58" s="70">
        <v>4000</v>
      </c>
      <c r="C58" s="160"/>
      <c r="D58" s="70">
        <v>4000</v>
      </c>
      <c r="E58" s="160"/>
      <c r="F58" s="70">
        <v>4000</v>
      </c>
    </row>
    <row r="59" spans="1:6" s="14" customFormat="1" ht="17.25">
      <c r="A59" s="21" t="s">
        <v>38</v>
      </c>
      <c r="B59" s="70">
        <v>20000</v>
      </c>
      <c r="C59" s="160"/>
      <c r="D59" s="70">
        <v>20000</v>
      </c>
      <c r="E59" s="160"/>
      <c r="F59" s="70">
        <v>20000</v>
      </c>
    </row>
    <row r="60" spans="1:6" s="14" customFormat="1" ht="17.25">
      <c r="A60" s="21" t="s">
        <v>39</v>
      </c>
      <c r="B60" s="73">
        <v>9781723</v>
      </c>
      <c r="C60" s="160"/>
      <c r="D60" s="70">
        <v>9319189</v>
      </c>
      <c r="E60" s="160"/>
      <c r="F60" s="70">
        <v>9338736</v>
      </c>
    </row>
    <row r="61" spans="1:6" s="14" customFormat="1" ht="17.25">
      <c r="A61" s="27" t="s">
        <v>40</v>
      </c>
      <c r="B61" s="77">
        <f>SUM(B58:B60)</f>
        <v>9805723</v>
      </c>
      <c r="C61" s="152"/>
      <c r="D61" s="77">
        <f>SUM(D58:D60)</f>
        <v>9343189</v>
      </c>
      <c r="E61" s="152"/>
      <c r="F61" s="165">
        <f>SUM(F58:F60)</f>
        <v>9362736</v>
      </c>
    </row>
    <row r="62" spans="1:6" s="14" customFormat="1" ht="18" thickBot="1">
      <c r="A62" s="34" t="s">
        <v>41</v>
      </c>
      <c r="B62" s="78">
        <f>B46+B54+B61</f>
        <v>531778947</v>
      </c>
      <c r="C62" s="166"/>
      <c r="D62" s="78">
        <f>D46+D54+D61</f>
        <v>597299079</v>
      </c>
      <c r="E62" s="167"/>
      <c r="F62" s="78">
        <f>F46+F54+F61</f>
        <v>604735408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92</v>
      </c>
      <c r="B66" s="40"/>
      <c r="C66" s="41"/>
      <c r="D66" s="42"/>
      <c r="E66" s="40"/>
      <c r="F66" s="42"/>
    </row>
    <row r="67" spans="1:6" s="14" customFormat="1" ht="17.25">
      <c r="A67" s="21" t="s">
        <v>84</v>
      </c>
      <c r="B67" s="26"/>
      <c r="C67" s="26"/>
      <c r="D67" s="43"/>
      <c r="E67" s="26"/>
      <c r="F67" s="43"/>
    </row>
    <row r="68" spans="1:6" s="14" customFormat="1" ht="17.25">
      <c r="A68" s="18" t="s">
        <v>87</v>
      </c>
      <c r="B68" s="44"/>
      <c r="C68" s="44"/>
      <c r="D68" s="44"/>
      <c r="E68" s="44"/>
      <c r="F68" s="45"/>
    </row>
    <row r="71" spans="1:6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6" t="s">
        <v>57</v>
      </c>
      <c r="B2" s="176"/>
      <c r="C2" s="176"/>
      <c r="D2" s="176"/>
      <c r="E2" s="177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22-03-17</vt:lpstr>
      <vt:lpstr>DEFERRED FRAN NOTES CHRG TO RES</vt:lpstr>
      <vt:lpstr>DEFERRED FRAN NOTES CHRG TO P&amp;L</vt:lpstr>
      <vt:lpstr>P&amp;L-DEFERRED FRAN NOTES CHRG </vt:lpstr>
      <vt:lpstr>'22-03-17'!Print_Area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2017-04-03T13:58:41Z</cp:lastPrinted>
  <dcterms:created xsi:type="dcterms:W3CDTF">2009-02-04T22:27:27Z</dcterms:created>
  <dcterms:modified xsi:type="dcterms:W3CDTF">2017-04-03T16:44:45Z</dcterms:modified>
</cp:coreProperties>
</file>