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March 8, 2017\"/>
    </mc:Choice>
  </mc:AlternateContent>
  <bookViews>
    <workbookView xWindow="-345" yWindow="-15" windowWidth="9750" windowHeight="12015"/>
  </bookViews>
  <sheets>
    <sheet name="08-03-17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'08-03-17'!$A$12:$F$68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'08-03-17'!$A$11:$F$64</definedName>
  </definedNames>
  <calcPr calcId="152511"/>
</workbook>
</file>

<file path=xl/calcChain.xml><?xml version="1.0" encoding="utf-8"?>
<calcChain xmlns="http://schemas.openxmlformats.org/spreadsheetml/2006/main">
  <c r="F23" i="1" l="1"/>
  <c r="F50" i="1"/>
  <c r="F31" i="1" l="1"/>
  <c r="F52" i="1"/>
  <c r="F34" i="1" l="1"/>
  <c r="F35" i="1" s="1"/>
  <c r="F22" i="1"/>
  <c r="F45" i="1"/>
  <c r="F40" i="1"/>
  <c r="F53" i="1"/>
  <c r="D34" i="1"/>
  <c r="F42" i="1"/>
  <c r="D42" i="1"/>
  <c r="F21" i="1" l="1"/>
  <c r="B53" i="1" l="1"/>
  <c r="B52" i="1"/>
  <c r="B50" i="1"/>
  <c r="B45" i="1"/>
  <c r="B42" i="1"/>
  <c r="B40" i="1"/>
  <c r="B34" i="1"/>
  <c r="B31" i="1"/>
  <c r="B22" i="1"/>
  <c r="B21" i="1"/>
  <c r="D53" i="1" l="1"/>
  <c r="D52" i="1"/>
  <c r="D50" i="1"/>
  <c r="D45" i="1"/>
  <c r="D40" i="1"/>
  <c r="D31" i="1"/>
  <c r="D22" i="1"/>
  <c r="D21" i="1"/>
  <c r="B24" i="1" l="1"/>
  <c r="B35" i="1"/>
  <c r="B46" i="1"/>
  <c r="B54" i="1"/>
  <c r="B61" i="1"/>
  <c r="B62" i="1" l="1"/>
  <c r="B36" i="1"/>
  <c r="D61" i="1" l="1"/>
  <c r="D54" i="1"/>
  <c r="D46" i="1"/>
  <c r="D35" i="1"/>
  <c r="D24" i="1"/>
  <c r="D36" i="1" l="1"/>
  <c r="D62" i="1"/>
  <c r="F46" i="1" l="1"/>
  <c r="F24" i="1" l="1"/>
  <c r="F54" i="1"/>
  <c r="F61" i="1"/>
  <c r="F62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1" i="1" l="1"/>
</calcChain>
</file>

<file path=xl/sharedStrings.xml><?xml version="1.0" encoding="utf-8"?>
<sst xmlns="http://schemas.openxmlformats.org/spreadsheetml/2006/main" count="210" uniqueCount="92">
  <si>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</si>
  <si>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</si>
  <si>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</si>
  <si>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</si>
  <si>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</si>
  <si>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</si>
  <si>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</si>
  <si>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</si>
  <si>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</si>
  <si>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</si>
  <si>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</si>
  <si>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</si>
  <si>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</si>
  <si>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</si>
  <si>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</si>
  <si>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</si>
  <si>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</si>
  <si>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</si>
  <si>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</si>
  <si>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</si>
  <si>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</si>
  <si>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</si>
  <si>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</si>
  <si>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</si>
  <si>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</si>
  <si>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</si>
  <si>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</si>
  <si>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</si>
  <si>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</si>
  <si>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</si>
  <si>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</si>
  <si>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</si>
  <si>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</si>
  <si>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</si>
  <si>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</si>
  <si>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</si>
  <si>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</si>
  <si>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</si>
  <si>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</si>
  <si>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</si>
  <si>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</si>
  <si>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</si>
  <si>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</si>
  <si>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</si>
  <si>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</si>
  <si>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</si>
  <si>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</si>
  <si>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</si>
  <si>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</si>
  <si>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</si>
  <si>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</si>
  <si>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</si>
  <si>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</si>
  <si>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</si>
  <si>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</si>
  <si>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</si>
  <si>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</si>
  <si>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</si>
  <si>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</si>
  <si>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</si>
  <si>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</si>
  <si>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</si>
  <si>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</si>
  <si>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</si>
  <si>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</si>
  <si>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</si>
  <si>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</si>
  <si>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</si>
  <si>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</si>
  <si>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</si>
  <si>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</si>
  <si>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</si>
  <si>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</si>
  <si>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</si>
  <si>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</si>
  <si>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</si>
  <si>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</si>
  <si>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</si>
  <si>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</si>
  <si>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</si>
  <si>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</si>
  <si>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</si>
  <si>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</si>
  <si>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</si>
  <si>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</si>
  <si>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Amounts Due to Government of Jamaica</t>
  </si>
  <si>
    <t xml:space="preserve">      Advances and Other GOJ Receivables*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</si>
  <si>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</si>
  <si>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09 MARCH</t>
  </si>
  <si>
    <t>08 MARCH</t>
  </si>
  <si>
    <t>As At 08 MARCH 2017</t>
  </si>
  <si>
    <r>
      <t xml:space="preserve">* </t>
    </r>
    <r>
      <rPr>
        <sz val="12"/>
        <rFont val="Arial Unicode MS"/>
        <family val="2"/>
      </rPr>
      <t>The year to date loss of $0.24bn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</si>
</sst>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0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0" fillId="2" borderId="0" xfId="0" applyNumberFormat="1" applyFont="1" applyFill="1" applyBorder="1"/>
    <xf numFmtId="37" fontId="41" fillId="2" borderId="0" xfId="0" applyNumberFormat="1" applyFont="1" applyFill="1"/>
    <xf numFmtId="43" fontId="43" fillId="0" borderId="0" xfId="2" applyFont="1" applyFill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5" borderId="56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180974</xdr:rowOff>
    </xdr:from>
    <xdr:to>
      <xdr:col>5</xdr:col>
      <xdr:colOff>1525367</xdr:colOff>
      <xdr:row>8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0974"/>
          <a:ext cx="8392892" cy="1533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15"/>
  <sheetViews>
    <sheetView tabSelected="1" showOutlineSymbols="0" zoomScaleNormal="100" zoomScaleSheetLayoutView="75" workbookViewId="0">
      <selection activeCell="H13" sqref="H13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7" style="14" bestFit="1" customWidth="1"/>
    <col min="8" max="8" width="19.6640625" bestFit="1" customWidth="1"/>
    <col min="9" max="9" width="14.44140625" bestFit="1" customWidth="1"/>
    <col min="10" max="10" width="17.77734375" style="155" customWidth="1"/>
  </cols>
  <sheetData>
    <row r="1" spans="1:10" ht="15">
      <c r="A1" s="1"/>
      <c r="B1" s="2"/>
      <c r="C1" s="2"/>
      <c r="D1" s="2"/>
      <c r="E1" s="2"/>
      <c r="F1" s="184"/>
      <c r="G1"/>
    </row>
    <row r="2" spans="1:10" ht="15">
      <c r="A2" s="3"/>
      <c r="B2" s="4"/>
      <c r="C2" s="4"/>
      <c r="D2" s="4"/>
      <c r="F2" s="185"/>
      <c r="G2"/>
    </row>
    <row r="3" spans="1:10" ht="15">
      <c r="A3" s="3"/>
      <c r="B3" s="4"/>
      <c r="C3" s="4"/>
      <c r="D3" s="4"/>
      <c r="F3" s="185"/>
      <c r="G3"/>
    </row>
    <row r="4" spans="1:10" ht="15">
      <c r="A4" s="3"/>
      <c r="B4" s="4"/>
      <c r="C4" s="4"/>
      <c r="D4" s="4"/>
      <c r="F4" s="185"/>
      <c r="G4"/>
    </row>
    <row r="5" spans="1:10" ht="15">
      <c r="A5" s="3"/>
      <c r="B5" s="4"/>
      <c r="C5" s="4"/>
      <c r="D5" s="4"/>
      <c r="F5" s="185"/>
      <c r="G5"/>
    </row>
    <row r="6" spans="1:10" ht="15">
      <c r="A6" s="3"/>
      <c r="B6" s="4"/>
      <c r="C6" s="4"/>
      <c r="D6" s="4"/>
      <c r="F6" s="185"/>
      <c r="G6"/>
    </row>
    <row r="7" spans="1:10" ht="15">
      <c r="A7" s="3"/>
      <c r="B7" s="4"/>
      <c r="C7" s="4"/>
      <c r="D7" s="4"/>
      <c r="F7" s="185"/>
      <c r="G7"/>
    </row>
    <row r="8" spans="1:10" ht="15">
      <c r="A8" s="3"/>
      <c r="B8" s="4"/>
      <c r="C8" s="4"/>
      <c r="D8" s="4"/>
      <c r="F8" s="185"/>
      <c r="G8"/>
    </row>
    <row r="9" spans="1:10" ht="15">
      <c r="A9" s="3"/>
      <c r="B9" s="4"/>
      <c r="C9" s="4"/>
      <c r="D9" s="4"/>
      <c r="F9" s="185"/>
      <c r="G9"/>
    </row>
    <row r="10" spans="1:10" ht="41.25">
      <c r="A10" s="5" t="s">
        <v>0</v>
      </c>
      <c r="B10" s="6"/>
      <c r="C10" s="7"/>
      <c r="D10" s="7"/>
      <c r="E10" s="7"/>
      <c r="F10" s="6"/>
      <c r="G10"/>
    </row>
    <row r="11" spans="1:10" ht="15.75">
      <c r="A11" s="8"/>
      <c r="B11" s="9"/>
      <c r="C11" s="10"/>
      <c r="D11" s="9"/>
      <c r="E11" s="10"/>
      <c r="F11" s="186"/>
      <c r="G11"/>
    </row>
    <row r="12" spans="1:10" s="14" customFormat="1" ht="20.25">
      <c r="A12" s="144" t="s">
        <v>1</v>
      </c>
      <c r="B12" s="145"/>
      <c r="C12" s="146"/>
      <c r="D12" s="145"/>
      <c r="E12" s="146"/>
      <c r="F12" s="145"/>
    </row>
    <row r="13" spans="1:10" s="14" customFormat="1" ht="20.25">
      <c r="A13" s="147" t="s">
        <v>2</v>
      </c>
      <c r="B13" s="148"/>
      <c r="C13" s="149"/>
      <c r="D13" s="148"/>
      <c r="E13" s="149"/>
      <c r="F13" s="148"/>
    </row>
    <row r="14" spans="1:10" s="14" customFormat="1" ht="20.25">
      <c r="A14" s="150" t="s">
        <v>90</v>
      </c>
      <c r="B14" s="148"/>
      <c r="C14" s="149"/>
      <c r="D14" s="148"/>
      <c r="E14" s="149"/>
      <c r="F14" s="148"/>
    </row>
    <row r="15" spans="1:10" s="14" customFormat="1">
      <c r="A15" s="152" t="s">
        <v>3</v>
      </c>
      <c r="B15" s="153"/>
      <c r="C15" s="153"/>
      <c r="D15" s="153"/>
      <c r="E15" s="153"/>
      <c r="F15" s="187"/>
    </row>
    <row r="16" spans="1:10" s="14" customFormat="1">
      <c r="A16" s="21"/>
      <c r="B16" s="178">
        <v>2016</v>
      </c>
      <c r="C16" s="179"/>
      <c r="D16" s="178">
        <v>2017</v>
      </c>
      <c r="E16" s="180"/>
      <c r="F16" s="178">
        <v>2017</v>
      </c>
      <c r="J16" s="79"/>
    </row>
    <row r="17" spans="1:10" s="14" customFormat="1">
      <c r="A17" s="21"/>
      <c r="B17" s="181" t="s">
        <v>88</v>
      </c>
      <c r="C17" s="182"/>
      <c r="D17" s="181" t="s">
        <v>55</v>
      </c>
      <c r="E17" s="182"/>
      <c r="F17" s="181" t="s">
        <v>89</v>
      </c>
      <c r="J17" s="79"/>
    </row>
    <row r="18" spans="1:10" s="14" customFormat="1">
      <c r="A18" s="21"/>
      <c r="B18" s="183" t="s">
        <v>5</v>
      </c>
      <c r="C18" s="182"/>
      <c r="D18" s="183" t="s">
        <v>5</v>
      </c>
      <c r="E18" s="182"/>
      <c r="F18" s="183" t="s">
        <v>5</v>
      </c>
      <c r="J18" s="79"/>
    </row>
    <row r="19" spans="1:10" s="14" customFormat="1">
      <c r="A19" s="25" t="s">
        <v>6</v>
      </c>
      <c r="B19" s="69"/>
      <c r="C19" s="168"/>
      <c r="D19" s="69"/>
      <c r="E19" s="168"/>
      <c r="F19" s="69"/>
      <c r="J19" s="79"/>
    </row>
    <row r="20" spans="1:10" s="14" customFormat="1">
      <c r="A20" s="27" t="s">
        <v>7</v>
      </c>
      <c r="B20" s="69"/>
      <c r="C20" s="168"/>
      <c r="D20" s="69"/>
      <c r="E20" s="168"/>
      <c r="F20" s="69"/>
      <c r="J20" s="79"/>
    </row>
    <row r="21" spans="1:10" s="14" customFormat="1">
      <c r="A21" s="21" t="s">
        <v>8</v>
      </c>
      <c r="B21" s="70">
        <f>6598654-4062</f>
        <v>6594592</v>
      </c>
      <c r="C21" s="169"/>
      <c r="D21" s="70">
        <f>4217848-3588</f>
        <v>4214260</v>
      </c>
      <c r="E21" s="169"/>
      <c r="F21" s="70">
        <f>4218872-3478</f>
        <v>4215394</v>
      </c>
      <c r="J21" s="79"/>
    </row>
    <row r="22" spans="1:10" s="14" customFormat="1">
      <c r="A22" s="21" t="s">
        <v>9</v>
      </c>
      <c r="B22" s="70">
        <f>145528+186357159+58447738-6598654+4062+57273707+1130</f>
        <v>295630670</v>
      </c>
      <c r="C22" s="169"/>
      <c r="D22" s="70">
        <f>109239+245296770+73458461+44019824+3055+10060734-4214260+96856</f>
        <v>368830679</v>
      </c>
      <c r="E22" s="169"/>
      <c r="F22" s="70">
        <f>112701+259349487+73535917+44353399+2925+10060734-4215394+1448207</f>
        <v>384647976</v>
      </c>
      <c r="J22" s="79"/>
    </row>
    <row r="23" spans="1:10" s="14" customFormat="1">
      <c r="A23" s="21" t="s">
        <v>42</v>
      </c>
      <c r="B23" s="70">
        <v>30300634</v>
      </c>
      <c r="C23" s="169"/>
      <c r="D23" s="70">
        <v>29670869</v>
      </c>
      <c r="E23" s="169"/>
      <c r="F23" s="70">
        <f>29647875+81344</f>
        <v>29729219</v>
      </c>
      <c r="J23" s="79"/>
    </row>
    <row r="24" spans="1:10" s="14" customFormat="1">
      <c r="A24" s="157" t="s">
        <v>10</v>
      </c>
      <c r="B24" s="71">
        <f>+B21+B22+B23</f>
        <v>332525896</v>
      </c>
      <c r="C24" s="170"/>
      <c r="D24" s="71">
        <f>+D21+D22+D23</f>
        <v>402715808</v>
      </c>
      <c r="E24" s="170"/>
      <c r="F24" s="71">
        <f>+F21+F22+F23</f>
        <v>418592589</v>
      </c>
      <c r="J24" s="79"/>
    </row>
    <row r="25" spans="1:10" s="14" customFormat="1">
      <c r="A25" s="21"/>
      <c r="B25" s="70"/>
      <c r="C25" s="169"/>
      <c r="D25" s="70"/>
      <c r="E25" s="169"/>
      <c r="F25" s="70"/>
      <c r="J25" s="79"/>
    </row>
    <row r="26" spans="1:10" s="14" customFormat="1">
      <c r="A26" s="27" t="s">
        <v>11</v>
      </c>
      <c r="B26" s="70"/>
      <c r="C26" s="169"/>
      <c r="D26" s="70"/>
      <c r="E26" s="169"/>
      <c r="F26" s="70"/>
      <c r="J26" s="79"/>
    </row>
    <row r="27" spans="1:10" s="14" customFormat="1">
      <c r="A27" s="21" t="s">
        <v>12</v>
      </c>
      <c r="B27" s="70" t="s">
        <v>13</v>
      </c>
      <c r="C27" s="169"/>
      <c r="D27" s="70" t="s">
        <v>13</v>
      </c>
      <c r="E27" s="169"/>
      <c r="F27" s="70" t="s">
        <v>13</v>
      </c>
      <c r="J27" s="79"/>
    </row>
    <row r="28" spans="1:10" s="14" customFormat="1">
      <c r="A28" s="21" t="s">
        <v>44</v>
      </c>
      <c r="B28" s="70">
        <v>116080981</v>
      </c>
      <c r="C28" s="169"/>
      <c r="D28" s="70">
        <v>124894267</v>
      </c>
      <c r="E28" s="169"/>
      <c r="F28" s="70">
        <v>124894267</v>
      </c>
      <c r="J28" s="79"/>
    </row>
    <row r="29" spans="1:10" s="14" customFormat="1" hidden="1">
      <c r="A29" s="21" t="s">
        <v>14</v>
      </c>
      <c r="B29" s="70">
        <v>0</v>
      </c>
      <c r="C29" s="169"/>
      <c r="D29" s="70">
        <v>0</v>
      </c>
      <c r="E29" s="169"/>
      <c r="F29" s="70">
        <v>0</v>
      </c>
      <c r="J29" s="79"/>
    </row>
    <row r="30" spans="1:10" s="14" customFormat="1" hidden="1">
      <c r="A30" s="21" t="s">
        <v>15</v>
      </c>
      <c r="B30" s="70">
        <v>0</v>
      </c>
      <c r="C30" s="169"/>
      <c r="D30" s="70">
        <v>0</v>
      </c>
      <c r="E30" s="169"/>
      <c r="F30" s="70">
        <v>0</v>
      </c>
      <c r="J30" s="79"/>
    </row>
    <row r="31" spans="1:10" s="14" customFormat="1">
      <c r="A31" s="21" t="s">
        <v>86</v>
      </c>
      <c r="B31" s="70">
        <f>28148703+440625</f>
        <v>28589328</v>
      </c>
      <c r="C31" s="171"/>
      <c r="D31" s="70">
        <f>25042503+561611</f>
        <v>25604114</v>
      </c>
      <c r="E31" s="169"/>
      <c r="F31" s="70">
        <f>24948117+240833</f>
        <v>25188950</v>
      </c>
      <c r="J31" s="79"/>
    </row>
    <row r="32" spans="1:10" s="14" customFormat="1" ht="17.25" customHeight="1">
      <c r="A32" s="21" t="s">
        <v>16</v>
      </c>
      <c r="B32" s="70">
        <v>5589107</v>
      </c>
      <c r="C32" s="172"/>
      <c r="D32" s="70">
        <v>10600000</v>
      </c>
      <c r="E32" s="173"/>
      <c r="F32" s="70">
        <v>4700000</v>
      </c>
      <c r="J32" s="79"/>
    </row>
    <row r="33" spans="1:59" s="14" customFormat="1" hidden="1">
      <c r="A33" s="21" t="s">
        <v>17</v>
      </c>
      <c r="B33" s="70">
        <v>0</v>
      </c>
      <c r="C33" s="169"/>
      <c r="D33" s="70">
        <v>0</v>
      </c>
      <c r="E33" s="169"/>
      <c r="F33" s="70">
        <v>0</v>
      </c>
      <c r="J33" s="79"/>
    </row>
    <row r="34" spans="1:59" s="14" customFormat="1">
      <c r="A34" s="21" t="s">
        <v>18</v>
      </c>
      <c r="B34" s="70">
        <f>107345+9589657+4442823+2+1083+1135418+23294827-5589107</f>
        <v>32982048</v>
      </c>
      <c r="C34" s="169"/>
      <c r="D34" s="70">
        <f>4765001-8504-2501+903914+28505562-D32+94833</f>
        <v>23658305</v>
      </c>
      <c r="E34" s="169"/>
      <c r="F34" s="70">
        <f>4735766-27589-2501+1233291+22566051-F32+118255</f>
        <v>23923273</v>
      </c>
      <c r="J34" s="79"/>
    </row>
    <row r="35" spans="1:59" s="14" customFormat="1">
      <c r="A35" s="27" t="s">
        <v>19</v>
      </c>
      <c r="B35" s="74">
        <f>SUM(B28:B34)</f>
        <v>183241464</v>
      </c>
      <c r="C35" s="154"/>
      <c r="D35" s="74">
        <f>SUM(D28:D34)</f>
        <v>184756686</v>
      </c>
      <c r="E35" s="154"/>
      <c r="F35" s="74">
        <f>SUM(F28:F34)</f>
        <v>178706490</v>
      </c>
      <c r="J35" s="79"/>
    </row>
    <row r="36" spans="1:59" s="14" customFormat="1" ht="18" thickBot="1">
      <c r="A36" s="25" t="s">
        <v>20</v>
      </c>
      <c r="B36" s="75">
        <f>+B35+B24</f>
        <v>515767360</v>
      </c>
      <c r="C36" s="154"/>
      <c r="D36" s="75">
        <f>+D35+D24</f>
        <v>587472494</v>
      </c>
      <c r="E36" s="154"/>
      <c r="F36" s="75">
        <f>+F35+F24</f>
        <v>597299079</v>
      </c>
      <c r="J36" s="79"/>
    </row>
    <row r="37" spans="1:59" s="14" customFormat="1" ht="18" thickTop="1">
      <c r="A37" s="21"/>
      <c r="B37" s="70"/>
      <c r="C37" s="169"/>
      <c r="D37" s="70"/>
      <c r="E37" s="169"/>
      <c r="F37" s="70"/>
      <c r="J37" s="79"/>
    </row>
    <row r="38" spans="1:59" s="14" customFormat="1">
      <c r="A38" s="25" t="s">
        <v>21</v>
      </c>
      <c r="B38" s="70"/>
      <c r="C38" s="169"/>
      <c r="D38" s="70"/>
      <c r="E38" s="169"/>
      <c r="F38" s="70"/>
      <c r="J38" s="79"/>
    </row>
    <row r="39" spans="1:59" s="14" customFormat="1">
      <c r="A39" s="27" t="s">
        <v>22</v>
      </c>
      <c r="B39" s="76"/>
      <c r="C39" s="169"/>
      <c r="D39" s="76"/>
      <c r="E39" s="169"/>
      <c r="F39" s="76"/>
      <c r="J39" s="79"/>
    </row>
    <row r="40" spans="1:59" s="14" customFormat="1">
      <c r="A40" s="21" t="s">
        <v>23</v>
      </c>
      <c r="B40" s="70">
        <f>74297034+3635532</f>
        <v>77932566</v>
      </c>
      <c r="C40" s="169"/>
      <c r="D40" s="70">
        <f>82169671+3990859</f>
        <v>86160530</v>
      </c>
      <c r="E40" s="169"/>
      <c r="F40" s="70">
        <f>83650244+4005202</f>
        <v>87655446</v>
      </c>
      <c r="J40" s="79"/>
    </row>
    <row r="41" spans="1:59" s="14" customFormat="1">
      <c r="A41" s="21" t="s">
        <v>24</v>
      </c>
      <c r="B41" s="76"/>
      <c r="C41" s="169"/>
      <c r="D41" s="76"/>
      <c r="E41" s="169"/>
      <c r="F41" s="76"/>
      <c r="I41" s="167"/>
      <c r="J41" s="167"/>
      <c r="K41" s="167">
        <v>2055.5700000000002</v>
      </c>
      <c r="L41" s="167">
        <v>0</v>
      </c>
      <c r="M41" s="167">
        <v>0</v>
      </c>
      <c r="N41" s="167">
        <v>3249077.27</v>
      </c>
      <c r="O41" s="167">
        <v>418466.21</v>
      </c>
      <c r="P41" s="167">
        <v>20.12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435750001.82999998</v>
      </c>
      <c r="X41" s="167">
        <v>7160923.7800000003</v>
      </c>
      <c r="Y41" s="167">
        <v>0</v>
      </c>
      <c r="Z41" s="167">
        <v>10610.65</v>
      </c>
      <c r="AA41" s="167">
        <v>22934568.100000001</v>
      </c>
      <c r="AB41" s="167">
        <v>357.3</v>
      </c>
      <c r="AC41" s="167">
        <v>23087839.329999998</v>
      </c>
      <c r="AD41" s="167">
        <v>0</v>
      </c>
      <c r="AE41" s="167">
        <v>27500</v>
      </c>
      <c r="AF41" s="167">
        <v>147378.84</v>
      </c>
      <c r="AG41" s="167">
        <v>433044.14</v>
      </c>
      <c r="AH41" s="167">
        <v>7290.22</v>
      </c>
      <c r="AI41" s="167">
        <v>11273.33</v>
      </c>
      <c r="AJ41" s="167">
        <v>1249.25</v>
      </c>
      <c r="AK41" s="167">
        <v>3552.45</v>
      </c>
      <c r="AL41" s="167">
        <v>11497.54</v>
      </c>
      <c r="AM41" s="167">
        <v>1180444.77</v>
      </c>
      <c r="AN41" s="167">
        <v>893804.56</v>
      </c>
      <c r="AO41" s="167">
        <v>1371591.62</v>
      </c>
      <c r="AP41" s="167">
        <v>4099.2700000000004</v>
      </c>
      <c r="AQ41" s="167">
        <v>3778.56</v>
      </c>
      <c r="AR41" s="167">
        <v>44224.86</v>
      </c>
      <c r="AS41" s="167">
        <v>3550.95</v>
      </c>
      <c r="AT41" s="167">
        <v>40126.61</v>
      </c>
      <c r="AU41" s="167">
        <v>549791.54</v>
      </c>
      <c r="AV41" s="167">
        <v>110020.01</v>
      </c>
      <c r="AW41" s="167">
        <v>64485.43</v>
      </c>
      <c r="AX41" s="167">
        <v>399546.86</v>
      </c>
      <c r="AY41" s="167">
        <v>2435.23</v>
      </c>
      <c r="AZ41" s="167">
        <v>315860.31</v>
      </c>
      <c r="BA41" s="167">
        <v>116433.83</v>
      </c>
      <c r="BB41" s="167">
        <v>606503.6</v>
      </c>
      <c r="BC41" s="167">
        <v>50008.06</v>
      </c>
      <c r="BD41" s="167">
        <v>100008.77</v>
      </c>
      <c r="BE41" s="167">
        <v>22005.99</v>
      </c>
      <c r="BF41" s="167">
        <v>2924.74</v>
      </c>
      <c r="BG41" s="167">
        <v>21501.85</v>
      </c>
    </row>
    <row r="42" spans="1:59" s="14" customFormat="1">
      <c r="A42" s="21" t="s">
        <v>25</v>
      </c>
      <c r="B42" s="70">
        <f>19394814+56721+39266508+945705+6654</f>
        <v>59670402</v>
      </c>
      <c r="C42" s="169"/>
      <c r="D42" s="70">
        <f>23946531+71897+62958100+1468495+15677</f>
        <v>88460700</v>
      </c>
      <c r="E42" s="169"/>
      <c r="F42" s="70">
        <f>31153336+59180+63833849+1470995+15327</f>
        <v>96532687</v>
      </c>
      <c r="G42" s="160"/>
      <c r="I42" s="161"/>
      <c r="J42" s="79"/>
    </row>
    <row r="43" spans="1:59" s="14" customFormat="1">
      <c r="A43" s="21" t="s">
        <v>26</v>
      </c>
      <c r="B43" s="70">
        <v>52629451</v>
      </c>
      <c r="C43" s="169"/>
      <c r="D43" s="70">
        <v>71413029</v>
      </c>
      <c r="E43" s="169"/>
      <c r="F43" s="70">
        <v>71413029</v>
      </c>
      <c r="G43" s="143"/>
      <c r="H43" s="79"/>
      <c r="I43" s="161"/>
      <c r="J43" s="79"/>
    </row>
    <row r="44" spans="1:59" s="14" customFormat="1">
      <c r="A44" s="21" t="s">
        <v>27</v>
      </c>
      <c r="B44" s="70">
        <v>85136859</v>
      </c>
      <c r="C44" s="169"/>
      <c r="D44" s="70">
        <v>101086666</v>
      </c>
      <c r="E44" s="169"/>
      <c r="F44" s="70">
        <v>108296092</v>
      </c>
      <c r="G44" s="160"/>
      <c r="H44" s="160"/>
      <c r="I44" s="161"/>
      <c r="J44" s="79"/>
    </row>
    <row r="45" spans="1:59" s="14" customFormat="1">
      <c r="A45" s="21" t="s">
        <v>28</v>
      </c>
      <c r="B45" s="70">
        <f>43703694-56721-39266508-945705-6654</f>
        <v>3428106</v>
      </c>
      <c r="C45" s="169"/>
      <c r="D45" s="70">
        <f>67012286-71897-62958100-1468495-15677</f>
        <v>2498117</v>
      </c>
      <c r="E45" s="169"/>
      <c r="F45" s="70">
        <f>67866243-59180-63833849-1470995-15327</f>
        <v>2486892</v>
      </c>
      <c r="I45" s="161"/>
      <c r="J45" s="79"/>
    </row>
    <row r="46" spans="1:59" s="14" customFormat="1">
      <c r="A46" s="27" t="s">
        <v>29</v>
      </c>
      <c r="B46" s="74">
        <f>SUM(B40:B45)</f>
        <v>278797384</v>
      </c>
      <c r="C46" s="154"/>
      <c r="D46" s="74">
        <f>SUM(D40:D45)</f>
        <v>349619042</v>
      </c>
      <c r="E46" s="154"/>
      <c r="F46" s="74">
        <f>SUM(F40:F45)</f>
        <v>366384146</v>
      </c>
      <c r="I46" s="161"/>
      <c r="J46" s="79"/>
    </row>
    <row r="47" spans="1:59" s="14" customFormat="1">
      <c r="A47" s="33"/>
      <c r="B47" s="70"/>
      <c r="C47" s="169"/>
      <c r="D47" s="70"/>
      <c r="E47" s="169"/>
      <c r="F47" s="70"/>
      <c r="I47" s="161"/>
      <c r="J47" s="79"/>
    </row>
    <row r="48" spans="1:59" s="14" customFormat="1">
      <c r="A48" s="27" t="s">
        <v>30</v>
      </c>
      <c r="B48" s="70"/>
      <c r="C48" s="169"/>
      <c r="D48" s="70"/>
      <c r="E48" s="169"/>
      <c r="F48" s="70"/>
      <c r="I48" s="161"/>
      <c r="J48" s="79"/>
    </row>
    <row r="49" spans="1:10" s="14" customFormat="1">
      <c r="A49" s="21" t="s">
        <v>43</v>
      </c>
      <c r="B49" s="70">
        <v>44180073</v>
      </c>
      <c r="C49" s="169"/>
      <c r="D49" s="70">
        <v>45093797</v>
      </c>
      <c r="E49" s="169"/>
      <c r="F49" s="70">
        <v>45058851</v>
      </c>
      <c r="I49" s="161"/>
      <c r="J49" s="79"/>
    </row>
    <row r="50" spans="1:10" s="14" customFormat="1">
      <c r="A50" s="21" t="s">
        <v>31</v>
      </c>
      <c r="B50" s="70">
        <f>263488-15530</f>
        <v>247958</v>
      </c>
      <c r="C50" s="169"/>
      <c r="D50" s="70">
        <f>16062-46343+96856</f>
        <v>66575</v>
      </c>
      <c r="E50" s="169"/>
      <c r="F50" s="70">
        <f>47871-74943+81344</f>
        <v>54272</v>
      </c>
      <c r="I50" s="161"/>
      <c r="J50" s="79"/>
    </row>
    <row r="51" spans="1:10" s="14" customFormat="1">
      <c r="A51" s="163" t="s">
        <v>32</v>
      </c>
      <c r="B51" s="70">
        <v>176150001</v>
      </c>
      <c r="C51" s="169"/>
      <c r="D51" s="70">
        <v>179955605</v>
      </c>
      <c r="E51" s="169"/>
      <c r="F51" s="70">
        <v>173104423</v>
      </c>
      <c r="H51" s="151"/>
      <c r="I51" s="161"/>
      <c r="J51" s="79"/>
    </row>
    <row r="52" spans="1:10" s="14" customFormat="1" hidden="1">
      <c r="A52" s="21" t="s">
        <v>85</v>
      </c>
      <c r="B52" s="70">
        <f>-440625+440625</f>
        <v>0</v>
      </c>
      <c r="C52" s="169"/>
      <c r="D52" s="70">
        <f>2245807-2807418+561611</f>
        <v>0</v>
      </c>
      <c r="E52" s="169"/>
      <c r="F52" s="70">
        <f>2796278-3037111+240833</f>
        <v>0</v>
      </c>
      <c r="H52" s="151"/>
      <c r="I52" s="161"/>
      <c r="J52" s="79"/>
    </row>
    <row r="53" spans="1:10" s="14" customFormat="1">
      <c r="A53" s="21" t="s">
        <v>33</v>
      </c>
      <c r="B53" s="70">
        <f>2181645+1529543+2371515</f>
        <v>6082703</v>
      </c>
      <c r="C53" s="169"/>
      <c r="D53" s="70">
        <f>-825923+1459278+2778927</f>
        <v>3412282</v>
      </c>
      <c r="E53" s="154"/>
      <c r="F53" s="70">
        <f>-879556+1458049+2775705</f>
        <v>3354198</v>
      </c>
      <c r="H53" s="151"/>
      <c r="I53" s="161"/>
      <c r="J53" s="79"/>
    </row>
    <row r="54" spans="1:10" s="14" customFormat="1">
      <c r="A54" s="27" t="s">
        <v>34</v>
      </c>
      <c r="B54" s="74">
        <f>SUM(B49:B53)</f>
        <v>226660735</v>
      </c>
      <c r="C54" s="154"/>
      <c r="D54" s="74">
        <f>SUM(D49:D53)</f>
        <v>228528259</v>
      </c>
      <c r="E54" s="169"/>
      <c r="F54" s="74">
        <f>SUM(F49:F53)</f>
        <v>221571744</v>
      </c>
      <c r="H54" s="151"/>
      <c r="I54" s="161"/>
      <c r="J54" s="79"/>
    </row>
    <row r="55" spans="1:10" s="14" customFormat="1">
      <c r="A55" s="21"/>
      <c r="B55" s="70"/>
      <c r="C55" s="169"/>
      <c r="D55" s="70"/>
      <c r="E55" s="169"/>
      <c r="F55" s="70"/>
      <c r="H55" s="151"/>
      <c r="I55" s="161"/>
      <c r="J55" s="79"/>
    </row>
    <row r="56" spans="1:10" s="14" customFormat="1">
      <c r="A56" s="27" t="s">
        <v>35</v>
      </c>
      <c r="B56" s="70"/>
      <c r="C56" s="169"/>
      <c r="D56" s="70"/>
      <c r="E56" s="169"/>
      <c r="F56" s="70"/>
      <c r="H56" s="151"/>
      <c r="I56" s="161"/>
      <c r="J56" s="79"/>
    </row>
    <row r="57" spans="1:10" s="14" customFormat="1">
      <c r="A57" s="21" t="s">
        <v>36</v>
      </c>
      <c r="B57" s="70"/>
      <c r="C57" s="169"/>
      <c r="D57" s="70"/>
      <c r="E57" s="169"/>
      <c r="F57" s="70"/>
      <c r="H57" s="151"/>
      <c r="I57" s="161"/>
      <c r="J57" s="79"/>
    </row>
    <row r="58" spans="1:10" s="14" customFormat="1">
      <c r="A58" s="21" t="s">
        <v>37</v>
      </c>
      <c r="B58" s="70">
        <v>4000</v>
      </c>
      <c r="C58" s="169"/>
      <c r="D58" s="70">
        <v>4000</v>
      </c>
      <c r="E58" s="169"/>
      <c r="F58" s="70">
        <v>4000</v>
      </c>
      <c r="H58" s="151"/>
      <c r="I58" s="161"/>
      <c r="J58" s="79"/>
    </row>
    <row r="59" spans="1:10" s="14" customFormat="1">
      <c r="A59" s="21" t="s">
        <v>38</v>
      </c>
      <c r="B59" s="70">
        <v>20000</v>
      </c>
      <c r="C59" s="169"/>
      <c r="D59" s="70">
        <v>20000</v>
      </c>
      <c r="E59" s="169"/>
      <c r="F59" s="70">
        <v>20000</v>
      </c>
      <c r="H59" s="151"/>
      <c r="I59" s="161"/>
      <c r="J59" s="79"/>
    </row>
    <row r="60" spans="1:10" s="14" customFormat="1">
      <c r="A60" s="21" t="s">
        <v>39</v>
      </c>
      <c r="B60" s="174">
        <v>10285241</v>
      </c>
      <c r="C60" s="169"/>
      <c r="D60" s="174">
        <v>9301193</v>
      </c>
      <c r="E60" s="169"/>
      <c r="F60" s="70">
        <v>9319189</v>
      </c>
      <c r="H60" s="151"/>
      <c r="I60" s="161"/>
      <c r="J60" s="156"/>
    </row>
    <row r="61" spans="1:10" s="14" customFormat="1">
      <c r="A61" s="27" t="s">
        <v>40</v>
      </c>
      <c r="B61" s="77">
        <f>SUM(B58:B60)</f>
        <v>10309241</v>
      </c>
      <c r="C61" s="154"/>
      <c r="D61" s="77">
        <f>SUM(D58:D60)</f>
        <v>9325193</v>
      </c>
      <c r="E61" s="154"/>
      <c r="F61" s="175">
        <f>SUM(F58:F60)</f>
        <v>9343189</v>
      </c>
      <c r="I61" s="161"/>
      <c r="J61" s="79"/>
    </row>
    <row r="62" spans="1:10" s="14" customFormat="1" ht="18" thickBot="1">
      <c r="A62" s="34" t="s">
        <v>41</v>
      </c>
      <c r="B62" s="78">
        <f>B46+B54+B61</f>
        <v>515767360</v>
      </c>
      <c r="C62" s="176"/>
      <c r="D62" s="78">
        <f>D46+D54+D61</f>
        <v>587472494</v>
      </c>
      <c r="E62" s="177"/>
      <c r="F62" s="78">
        <f>F46+F54+F61</f>
        <v>597299079</v>
      </c>
      <c r="I62" s="161"/>
      <c r="J62" s="79"/>
    </row>
    <row r="63" spans="1:10" s="14" customFormat="1" ht="18" thickTop="1">
      <c r="A63" s="21"/>
      <c r="B63" s="46"/>
      <c r="C63" s="26"/>
      <c r="D63" s="37"/>
      <c r="E63" s="37"/>
      <c r="F63" s="38"/>
      <c r="I63" s="161"/>
      <c r="J63" s="79"/>
    </row>
    <row r="64" spans="1:10" s="14" customFormat="1" ht="15" customHeight="1">
      <c r="A64" s="18"/>
      <c r="B64" s="19"/>
      <c r="C64" s="39"/>
      <c r="D64" s="19"/>
      <c r="E64" s="39"/>
      <c r="F64" s="20"/>
      <c r="I64" s="161"/>
      <c r="J64" s="79"/>
    </row>
    <row r="65" spans="1:10" s="14" customFormat="1" ht="19.5" customHeight="1">
      <c r="A65" s="49" t="s">
        <v>46</v>
      </c>
      <c r="B65" s="26"/>
      <c r="C65" s="50"/>
      <c r="D65" s="51"/>
      <c r="E65" s="51"/>
      <c r="F65" s="52"/>
      <c r="I65" s="161"/>
      <c r="J65" s="79"/>
    </row>
    <row r="66" spans="1:10" s="14" customFormat="1">
      <c r="A66" s="48" t="s">
        <v>91</v>
      </c>
      <c r="B66" s="40"/>
      <c r="C66" s="41"/>
      <c r="D66" s="42"/>
      <c r="E66" s="40"/>
      <c r="F66" s="42"/>
      <c r="I66" s="161"/>
      <c r="J66" s="79"/>
    </row>
    <row r="67" spans="1:10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161"/>
      <c r="J67" s="79"/>
    </row>
    <row r="68" spans="1:10" s="14" customFormat="1">
      <c r="A68" s="18" t="s">
        <v>87</v>
      </c>
      <c r="B68" s="44"/>
      <c r="C68" s="44"/>
      <c r="D68" s="44"/>
      <c r="E68" s="44"/>
      <c r="F68" s="45"/>
      <c r="I68" s="161"/>
      <c r="J68" s="79"/>
    </row>
    <row r="69" spans="1:10">
      <c r="I69" s="162"/>
    </row>
    <row r="70" spans="1:10">
      <c r="I70" s="162"/>
    </row>
    <row r="71" spans="1:10">
      <c r="B71">
        <f>B36-B62</f>
        <v>0</v>
      </c>
      <c r="D71">
        <f>D36-D62</f>
        <v>0</v>
      </c>
      <c r="F71">
        <f>F36-F62</f>
        <v>0</v>
      </c>
      <c r="I71" s="162"/>
      <c r="J71" s="158"/>
    </row>
    <row r="72" spans="1:10">
      <c r="I72" s="162"/>
      <c r="J72" s="158"/>
    </row>
    <row r="73" spans="1:10">
      <c r="I73" s="162"/>
      <c r="J73" s="158"/>
    </row>
    <row r="74" spans="1:10">
      <c r="I74" s="162"/>
      <c r="J74" s="158"/>
    </row>
    <row r="75" spans="1:10">
      <c r="I75" s="162"/>
      <c r="J75" s="158"/>
    </row>
    <row r="76" spans="1:10">
      <c r="I76" s="162"/>
      <c r="J76" s="158"/>
    </row>
    <row r="77" spans="1:10">
      <c r="I77" s="162"/>
      <c r="J77" s="158"/>
    </row>
    <row r="78" spans="1:10">
      <c r="I78" s="162"/>
      <c r="J78" s="158"/>
    </row>
    <row r="79" spans="1:10">
      <c r="I79" s="162"/>
      <c r="J79" s="158"/>
    </row>
    <row r="80" spans="1:10">
      <c r="I80" s="162"/>
      <c r="J80" s="158"/>
    </row>
    <row r="81" spans="9:10">
      <c r="I81" s="162"/>
      <c r="J81" s="158"/>
    </row>
    <row r="82" spans="9:10">
      <c r="I82" s="162"/>
      <c r="J82" s="158"/>
    </row>
    <row r="83" spans="9:10">
      <c r="I83" s="162"/>
      <c r="J83" s="158"/>
    </row>
    <row r="84" spans="9:10">
      <c r="I84" s="162"/>
      <c r="J84" s="158"/>
    </row>
    <row r="85" spans="9:10">
      <c r="I85" s="162"/>
      <c r="J85" s="158"/>
    </row>
    <row r="86" spans="9:10">
      <c r="I86" s="162"/>
      <c r="J86" s="158"/>
    </row>
    <row r="87" spans="9:10">
      <c r="I87" s="162"/>
      <c r="J87" s="158"/>
    </row>
    <row r="88" spans="9:10">
      <c r="I88" s="164"/>
      <c r="J88" s="158"/>
    </row>
    <row r="89" spans="9:10">
      <c r="I89" s="165"/>
      <c r="J89" s="158"/>
    </row>
    <row r="90" spans="9:10">
      <c r="I90" s="155"/>
      <c r="J90" s="158"/>
    </row>
    <row r="91" spans="9:10">
      <c r="I91" s="165"/>
      <c r="J91" s="158"/>
    </row>
    <row r="92" spans="9:10">
      <c r="I92" s="166"/>
      <c r="J92" s="158"/>
    </row>
    <row r="93" spans="9:10">
      <c r="J93" s="158"/>
    </row>
    <row r="94" spans="9:10">
      <c r="J94" s="158"/>
    </row>
    <row r="95" spans="9:10">
      <c r="J95" s="158"/>
    </row>
    <row r="96" spans="9:10">
      <c r="J96" s="158"/>
    </row>
    <row r="97" spans="10:10">
      <c r="J97" s="158"/>
    </row>
    <row r="98" spans="10:10">
      <c r="J98" s="158"/>
    </row>
    <row r="99" spans="10:10">
      <c r="J99" s="158"/>
    </row>
    <row r="100" spans="10:10">
      <c r="J100" s="158"/>
    </row>
    <row r="101" spans="10:10">
      <c r="J101" s="158"/>
    </row>
    <row r="102" spans="10:10">
      <c r="J102" s="158"/>
    </row>
    <row r="103" spans="10:10">
      <c r="J103" s="158"/>
    </row>
    <row r="104" spans="10:10">
      <c r="J104" s="158"/>
    </row>
    <row r="105" spans="10:10">
      <c r="J105" s="158"/>
    </row>
    <row r="106" spans="10:10">
      <c r="J106" s="158"/>
    </row>
    <row r="107" spans="10:10">
      <c r="J107" s="158"/>
    </row>
    <row r="108" spans="10:10">
      <c r="J108" s="158"/>
    </row>
    <row r="109" spans="10:10">
      <c r="J109" s="158"/>
    </row>
    <row r="110" spans="10:10">
      <c r="J110" s="158"/>
    </row>
    <row r="111" spans="10:10">
      <c r="J111" s="158"/>
    </row>
    <row r="112" spans="10:10">
      <c r="J112" s="158"/>
    </row>
    <row r="113" spans="10:10">
      <c r="J113" s="158"/>
    </row>
    <row r="114" spans="10:10">
      <c r="J114" s="158"/>
    </row>
    <row r="115" spans="10:10">
      <c r="J115" s="159"/>
    </row>
  </sheetData>
  <phoneticPr fontId="0" type="noConversion"/>
  <printOptions horizontalCentered="1" verticalCentered="1"/>
  <pageMargins left="0.25" right="0.25" top="0.5" bottom="0.5" header="0.25" footer="0.25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88" t="s">
        <v>57</v>
      </c>
      <c r="B2" s="188"/>
      <c r="C2" s="188"/>
      <c r="D2" s="188"/>
      <c r="E2" s="189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08-03-17</vt:lpstr>
      <vt:lpstr>DEFERRED FRAN NOTES CHRG TO RES</vt:lpstr>
      <vt:lpstr>DEFERRED FRAN NOTES CHRG TO P&amp;L</vt:lpstr>
      <vt:lpstr>P&amp;L-DEFERRED FRAN NOTES CHRG </vt:lpstr>
      <vt:lpstr>'08-03-17'!Print_Area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2017-03-20T15:43:29Z</cp:lastPrinted>
  <dcterms:created xsi:type="dcterms:W3CDTF">2009-02-04T22:27:27Z</dcterms:created>
  <dcterms:modified xsi:type="dcterms:W3CDTF">2017-03-20T16:57:48Z</dcterms:modified>
</cp:coreProperties>
</file>