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Balance Sheet - 26 May 2010" sheetId="1" r:id="rId1"/>
  </sheets>
  <definedNames>
    <definedName name="_xlnm.Print_Area" localSheetId="0">'Balance Sheet - 26 May 2010'!$A$11:$F$67</definedName>
    <definedName name="_xlnm.Print_Area">'Balance Sheet - 26 May 2010'!$A$10:$F$63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<sst xmlns="http://schemas.openxmlformats.org/spreadsheetml/2006/main" count="59" uniqueCount="55">
  <si>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</si>
  <si>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</si>
  <si>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</si>
  <si>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</si>
  <si>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</si>
  <si>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</si>
  <si>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</si>
  <si>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</si>
  <si>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</si>
  <si>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</si>
  <si>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</si>
  <si>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</si>
  <si>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</si>
  <si>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</si>
  <si>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</si>
  <si>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</si>
  <si>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</si>
  <si>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</si>
  <si>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</si>
  <si>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</si>
  <si>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</si>
  <si>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</si>
  <si>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</si>
  <si>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</si>
  <si>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</si>
  <si>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</si>
  <si>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</si>
  <si>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</si>
  <si>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</si>
  <si>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</si>
  <si>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</si>
  <si>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</si>
  <si>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</si>
  <si>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</si>
  <si>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</si>
  <si>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</si>
  <si>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</si>
  <si>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</si>
  <si>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</si>
  <si>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</si>
  <si>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</si>
  <si>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</si>
  <si>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</si>
  <si>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>Note</t>
  </si>
  <si>
    <t>congruent with Section 9 of the Bank of Jamaica Act, which provides that losses incurred by the Bank of Jamaica</t>
  </si>
  <si>
    <t xml:space="preserve">    IMF - Holding of Special Drawing Rights</t>
  </si>
  <si>
    <t xml:space="preserve">   IMF - Allocation of Special Drawing Rights</t>
  </si>
  <si>
    <r>
      <t xml:space="preserve">are to be </t>
    </r>
    <r>
      <rPr>
        <sz val="12"/>
        <rFont val="Arial Unicode MS"/>
        <family val="0"/>
      </rPr>
      <t>f</t>
    </r>
    <r>
      <rPr>
        <b/>
        <sz val="12"/>
        <rFont val="Arial Unicode MS"/>
        <family val="0"/>
      </rPr>
      <t xml:space="preserve">unded by the Government </t>
    </r>
    <r>
      <rPr>
        <sz val="12"/>
        <rFont val="Arial Unicode MS"/>
        <family val="2"/>
      </rPr>
      <t xml:space="preserve">and profits earned by the Bank are </t>
    </r>
    <r>
      <rPr>
        <sz val="12"/>
        <rFont val="Arial Unicode MS"/>
        <family val="0"/>
      </rPr>
      <t>due to the Government.</t>
    </r>
  </si>
  <si>
    <t>12 MAY</t>
  </si>
  <si>
    <t>As At 26 MAY 2010</t>
  </si>
  <si>
    <t>27 MAY</t>
  </si>
  <si>
    <t>26 MAY</t>
  </si>
  <si>
    <r>
      <t>The year to date loss of $4.38bn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</si>
  <si>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</si>
  <si>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09 June 2010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</si>
</sst>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J$&quot;#,##0_);\(&quot;J$&quot;#,##0\)"/>
    <numFmt numFmtId="173" formatCode="&quot;J$&quot;#,##0_);[Red]\(&quot;J$&quot;#,##0\)"/>
    <numFmt numFmtId="174" formatCode="&quot;J$&quot;#,##0.00_);\(&quot;J$&quot;#,##0.00\)"/>
    <numFmt numFmtId="175" formatCode="&quot;J$&quot;#,##0.00_);[Red]\(&quot;J$&quot;#,##0.00\)"/>
    <numFmt numFmtId="176" formatCode="_(&quot;J$&quot;* #,##0_);_(&quot;J$&quot;* \(#,##0\);_(&quot;J$&quot;* &quot;-&quot;_);_(@_)"/>
    <numFmt numFmtId="177" formatCode="_(&quot;J$&quot;* #,##0.00_);_(&quot;J$&quot;* \(#,##0.00\);_(&quot;J$&quot;* &quot;-&quot;??_);_(@_)"/>
    <numFmt numFmtId="178" formatCode="&quot;J$&quot;#,##0;\-&quot;J$&quot;#,##0"/>
    <numFmt numFmtId="179" formatCode="&quot;J$&quot;#,##0;[Red]\-&quot;J$&quot;#,##0"/>
    <numFmt numFmtId="180" formatCode="&quot;J$&quot;#,##0.00;\-&quot;J$&quot;#,##0.00"/>
    <numFmt numFmtId="181" formatCode="&quot;J$&quot;#,##0.00;[Red]\-&quot;J$&quot;#,##0.00"/>
    <numFmt numFmtId="182" formatCode="_-&quot;J$&quot;* #,##0_-;\-&quot;J$&quot;* #,##0_-;_-&quot;J$&quot;* &quot;-&quot;_-;_-@_-"/>
    <numFmt numFmtId="183" formatCode="_-&quot;J$&quot;* #,##0.00_-;\-&quot;J$&quot;* #,##0.00_-;_-&quot;J$&quot;* &quot;-&quot;??_-;_-@_-"/>
    <numFmt numFmtId="184" formatCode="#,##0.0_);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.000_);\(#,##0.000\)"/>
    <numFmt numFmtId="189" formatCode="#,##0.0000_);\(#,##0.0000\)"/>
    <numFmt numFmtId="190" formatCode="[$€-2]\ #,##0.00_);[Red]\([$€-2]\ #,##0.00\)"/>
  </numFmts>
  <fonts count="18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>
        <color indexed="8"/>
      </top>
      <bottom style="thin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6" fillId="2" borderId="5" xfId="0" applyNumberFormat="1" applyFont="1" applyFill="1" applyBorder="1" applyAlignment="1">
      <alignment horizontal="center"/>
    </xf>
    <xf numFmtId="37" fontId="0" fillId="2" borderId="5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6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3" xfId="0" applyNumberFormat="1" applyFont="1" applyFill="1" applyBorder="1" applyAlignment="1">
      <alignment horizontal="centerContinuous"/>
    </xf>
    <xf numFmtId="37" fontId="8" fillId="2" borderId="7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4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37" fontId="10" fillId="2" borderId="2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/>
    </xf>
    <xf numFmtId="37" fontId="11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10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12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3" fillId="2" borderId="0" xfId="0" applyNumberFormat="1" applyFont="1" applyFill="1" applyBorder="1" applyAlignment="1" applyProtection="1">
      <alignment horizontal="right"/>
      <protection hidden="1"/>
    </xf>
    <xf numFmtId="37" fontId="13" fillId="2" borderId="0" xfId="0" applyNumberFormat="1" applyFont="1" applyFill="1" applyBorder="1" applyAlignment="1" applyProtection="1">
      <alignment/>
      <protection hidden="1"/>
    </xf>
    <xf numFmtId="37" fontId="14" fillId="2" borderId="3" xfId="0" applyNumberFormat="1" applyFont="1" applyFill="1" applyBorder="1" applyAlignment="1">
      <alignment/>
    </xf>
    <xf numFmtId="37" fontId="11" fillId="2" borderId="9" xfId="0" applyNumberFormat="1" applyFont="1" applyFill="1" applyBorder="1" applyAlignment="1">
      <alignment/>
    </xf>
    <xf numFmtId="37" fontId="13" fillId="2" borderId="10" xfId="0" applyNumberFormat="1" applyFont="1" applyFill="1" applyBorder="1" applyAlignment="1" applyProtection="1">
      <alignment/>
      <protection hidden="1"/>
    </xf>
    <xf numFmtId="37" fontId="13" fillId="2" borderId="11" xfId="0" applyNumberFormat="1" applyFont="1" applyFill="1" applyBorder="1" applyAlignment="1" applyProtection="1">
      <alignment/>
      <protection hidden="1"/>
    </xf>
    <xf numFmtId="37" fontId="9" fillId="2" borderId="12" xfId="0" applyNumberFormat="1" applyFont="1" applyFill="1" applyBorder="1" applyAlignment="1">
      <alignment/>
    </xf>
    <xf numFmtId="37" fontId="9" fillId="2" borderId="13" xfId="0" applyNumberFormat="1" applyFont="1" applyFill="1" applyBorder="1" applyAlignment="1">
      <alignment/>
    </xf>
    <xf numFmtId="37" fontId="8" fillId="2" borderId="5" xfId="0" applyNumberFormat="1" applyFont="1" applyFill="1" applyBorder="1" applyAlignment="1">
      <alignment horizontal="centerContinuous"/>
    </xf>
    <xf numFmtId="37" fontId="15" fillId="2" borderId="1" xfId="0" applyNumberFormat="1" applyFont="1" applyFill="1" applyBorder="1" applyAlignment="1">
      <alignment/>
    </xf>
    <xf numFmtId="37" fontId="16" fillId="2" borderId="0" xfId="0" applyNumberFormat="1" applyFont="1" applyFill="1" applyBorder="1" applyAlignment="1">
      <alignment/>
    </xf>
    <xf numFmtId="37" fontId="15" fillId="2" borderId="0" xfId="0" applyNumberFormat="1" applyFont="1" applyFill="1" applyBorder="1" applyAlignment="1">
      <alignment/>
    </xf>
    <xf numFmtId="37" fontId="16" fillId="2" borderId="2" xfId="0" applyNumberFormat="1" applyFont="1" applyFill="1" applyBorder="1" applyAlignment="1">
      <alignment/>
    </xf>
    <xf numFmtId="37" fontId="16" fillId="2" borderId="7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16" fillId="2" borderId="5" xfId="0" applyNumberFormat="1" applyFont="1" applyFill="1" applyBorder="1" applyAlignment="1">
      <alignment/>
    </xf>
    <xf numFmtId="37" fontId="16" fillId="2" borderId="8" xfId="0" applyNumberFormat="1" applyFont="1" applyFill="1" applyBorder="1" applyAlignment="1">
      <alignment/>
    </xf>
    <xf numFmtId="0" fontId="10" fillId="3" borderId="14" xfId="0" applyNumberFormat="1" applyFont="1" applyFill="1" applyBorder="1" applyAlignment="1">
      <alignment horizontal="center"/>
    </xf>
    <xf numFmtId="16" fontId="10" fillId="3" borderId="14" xfId="0" applyNumberFormat="1" applyFont="1" applyFill="1" applyBorder="1" applyAlignment="1" quotePrefix="1">
      <alignment horizontal="center"/>
    </xf>
    <xf numFmtId="37" fontId="10" fillId="3" borderId="14" xfId="0" applyNumberFormat="1" applyFont="1" applyFill="1" applyBorder="1" applyAlignment="1">
      <alignment horizontal="center"/>
    </xf>
    <xf numFmtId="37" fontId="9" fillId="3" borderId="14" xfId="0" applyNumberFormat="1" applyFont="1" applyFill="1" applyBorder="1" applyAlignment="1">
      <alignment/>
    </xf>
    <xf numFmtId="37" fontId="9" fillId="3" borderId="14" xfId="0" applyNumberFormat="1" applyFont="1" applyFill="1" applyBorder="1" applyAlignment="1" applyProtection="1">
      <alignment/>
      <protection hidden="1"/>
    </xf>
    <xf numFmtId="38" fontId="9" fillId="3" borderId="14" xfId="0" applyNumberFormat="1" applyFont="1" applyFill="1" applyBorder="1" applyAlignment="1" applyProtection="1">
      <alignment/>
      <protection hidden="1"/>
    </xf>
    <xf numFmtId="37" fontId="9" fillId="3" borderId="15" xfId="0" applyNumberFormat="1" applyFont="1" applyFill="1" applyBorder="1" applyAlignment="1" applyProtection="1">
      <alignment/>
      <protection hidden="1"/>
    </xf>
    <xf numFmtId="37" fontId="13" fillId="3" borderId="16" xfId="0" applyNumberFormat="1" applyFont="1" applyFill="1" applyBorder="1" applyAlignment="1" applyProtection="1">
      <alignment/>
      <protection hidden="1"/>
    </xf>
    <xf numFmtId="37" fontId="13" fillId="3" borderId="17" xfId="0" applyNumberFormat="1" applyFont="1" applyFill="1" applyBorder="1" applyAlignment="1" applyProtection="1">
      <alignment/>
      <protection hidden="1"/>
    </xf>
    <xf numFmtId="39" fontId="9" fillId="3" borderId="14" xfId="0" applyNumberFormat="1" applyFont="1" applyFill="1" applyBorder="1" applyAlignment="1" applyProtection="1">
      <alignment/>
      <protection hidden="1"/>
    </xf>
    <xf numFmtId="37" fontId="13" fillId="3" borderId="14" xfId="0" applyNumberFormat="1" applyFont="1" applyFill="1" applyBorder="1" applyAlignment="1" applyProtection="1">
      <alignment/>
      <protection hidden="1"/>
    </xf>
    <xf numFmtId="37" fontId="13" fillId="3" borderId="18" xfId="0" applyNumberFormat="1" applyFont="1" applyFill="1" applyBorder="1" applyAlignment="1" applyProtection="1">
      <alignment/>
      <protection hidden="1"/>
    </xf>
    <xf numFmtId="37" fontId="12" fillId="3" borderId="19" xfId="0" applyNumberFormat="1" applyFont="1" applyFill="1" applyBorder="1" applyAlignment="1" applyProtection="1">
      <alignment/>
      <protection hidden="1"/>
    </xf>
    <xf numFmtId="37" fontId="13" fillId="3" borderId="15" xfId="0" applyNumberFormat="1" applyFont="1" applyFill="1" applyBorder="1" applyAlignment="1" applyProtection="1">
      <alignment/>
      <protection hidden="1"/>
    </xf>
    <xf numFmtId="37" fontId="13" fillId="3" borderId="12" xfId="0" applyNumberFormat="1" applyFont="1" applyFill="1" applyBorder="1" applyAlignment="1" applyProtection="1">
      <alignment/>
      <protection hidden="1"/>
    </xf>
    <xf numFmtId="37" fontId="16" fillId="2" borderId="6" xfId="0" applyNumberFormat="1" applyFont="1" applyFill="1" applyBorder="1" applyAlignment="1">
      <alignment/>
    </xf>
    <xf numFmtId="37" fontId="17" fillId="2" borderId="0" xfId="0" applyNumberFormat="1" applyFont="1" applyFill="1" applyBorder="1" applyAlignment="1">
      <alignment/>
    </xf>
    <xf numFmtId="49" fontId="17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1390650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showOutlineSymbols="0" zoomScale="75" zoomScaleNormal="75" zoomScaleSheetLayoutView="75" workbookViewId="0" topLeftCell="A1">
      <selection activeCell="A73" sqref="A73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4375" style="4" customWidth="1"/>
    <col min="6" max="6" width="17.3359375" style="0" customWidth="1"/>
    <col min="7" max="16384" width="11.44531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4"/>
      <c r="C2" s="4"/>
      <c r="D2" s="4"/>
      <c r="F2" s="4"/>
    </row>
    <row r="3" spans="1:6" ht="15">
      <c r="A3" s="3"/>
      <c r="B3" s="4"/>
      <c r="C3" s="4"/>
      <c r="D3" s="4"/>
      <c r="F3" s="4"/>
    </row>
    <row r="4" spans="1:6" ht="15">
      <c r="A4" s="3"/>
      <c r="B4" s="4"/>
      <c r="C4" s="4"/>
      <c r="D4" s="4"/>
      <c r="F4" s="4"/>
    </row>
    <row r="5" spans="1:6" ht="15">
      <c r="A5" s="3"/>
      <c r="B5" s="4"/>
      <c r="C5" s="4"/>
      <c r="D5" s="4"/>
      <c r="F5" s="4"/>
    </row>
    <row r="6" spans="1:6" ht="18.75">
      <c r="A6" s="61" t="s">
        <v>53</v>
      </c>
      <c r="B6" s="4"/>
      <c r="C6" s="4"/>
      <c r="D6" s="4"/>
      <c r="F6" s="4"/>
    </row>
    <row r="7" spans="1:6" ht="18.75">
      <c r="A7" s="62" t="s">
        <v>54</v>
      </c>
      <c r="B7" s="4"/>
      <c r="C7" s="4"/>
      <c r="D7" s="4"/>
      <c r="F7" s="4"/>
    </row>
    <row r="8" spans="1:6" ht="15">
      <c r="A8" s="3"/>
      <c r="B8" s="4"/>
      <c r="C8" s="4"/>
      <c r="D8" s="4"/>
      <c r="F8" s="4"/>
    </row>
    <row r="9" spans="1:6" ht="15">
      <c r="A9" s="3"/>
      <c r="B9" s="4"/>
      <c r="C9" s="4"/>
      <c r="D9" s="4"/>
      <c r="F9" s="4"/>
    </row>
    <row r="10" spans="1:6" ht="15.75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49</v>
      </c>
      <c r="B13" s="13"/>
      <c r="C13" s="14"/>
      <c r="D13" s="13"/>
      <c r="E13" s="14"/>
      <c r="F13" s="13"/>
    </row>
    <row r="14" spans="1:6" s="11" customFormat="1" ht="17.25">
      <c r="A14" s="15" t="s">
        <v>2</v>
      </c>
      <c r="B14" s="16"/>
      <c r="C14" s="16"/>
      <c r="D14" s="16"/>
      <c r="E14" s="16"/>
      <c r="F14" s="17"/>
    </row>
    <row r="15" spans="1:6" s="11" customFormat="1" ht="17.25">
      <c r="A15" s="18"/>
      <c r="B15" s="45">
        <v>2009</v>
      </c>
      <c r="C15" s="19"/>
      <c r="D15" s="45">
        <v>2010</v>
      </c>
      <c r="E15" s="20"/>
      <c r="F15" s="45">
        <v>2010</v>
      </c>
    </row>
    <row r="16" spans="1:6" s="11" customFormat="1" ht="17.25">
      <c r="A16" s="18"/>
      <c r="B16" s="46" t="s">
        <v>50</v>
      </c>
      <c r="C16" s="21"/>
      <c r="D16" s="46" t="s">
        <v>48</v>
      </c>
      <c r="E16" s="21"/>
      <c r="F16" s="46" t="s">
        <v>51</v>
      </c>
    </row>
    <row r="17" spans="1:6" s="11" customFormat="1" ht="17.25">
      <c r="A17" s="18"/>
      <c r="B17" s="47" t="s">
        <v>3</v>
      </c>
      <c r="C17" s="21"/>
      <c r="D17" s="47" t="s">
        <v>3</v>
      </c>
      <c r="E17" s="21"/>
      <c r="F17" s="47" t="s">
        <v>3</v>
      </c>
    </row>
    <row r="18" spans="1:6" s="11" customFormat="1" ht="17.25">
      <c r="A18" s="22" t="s">
        <v>4</v>
      </c>
      <c r="B18" s="48"/>
      <c r="C18" s="23"/>
      <c r="D18" s="48"/>
      <c r="E18" s="23"/>
      <c r="F18" s="48"/>
    </row>
    <row r="19" spans="1:6" s="11" customFormat="1" ht="17.25">
      <c r="A19" s="24" t="s">
        <v>5</v>
      </c>
      <c r="B19" s="48"/>
      <c r="C19" s="23"/>
      <c r="D19" s="48"/>
      <c r="E19" s="23"/>
      <c r="F19" s="48"/>
    </row>
    <row r="20" spans="1:6" s="11" customFormat="1" ht="17.25">
      <c r="A20" s="18" t="s">
        <v>6</v>
      </c>
      <c r="B20" s="49">
        <f>46803947-78714</f>
        <v>46725233</v>
      </c>
      <c r="C20" s="25"/>
      <c r="D20" s="49">
        <f>48437754-62659</f>
        <v>48375095</v>
      </c>
      <c r="E20" s="25"/>
      <c r="F20" s="49">
        <f>50909091-62041</f>
        <v>50847050</v>
      </c>
    </row>
    <row r="21" spans="1:6" s="11" customFormat="1" ht="17.25">
      <c r="A21" s="18" t="s">
        <v>7</v>
      </c>
      <c r="B21" s="49">
        <f>33347+19148380+108993658+21504655+287-46803947+78714</f>
        <v>102955094</v>
      </c>
      <c r="C21" s="25"/>
      <c r="D21" s="49">
        <f>35184+27324361+142306849+15173972+101008-48437754+62659</f>
        <v>136566279</v>
      </c>
      <c r="E21" s="25"/>
      <c r="F21" s="49">
        <f>35390+16582644+148555888+13356022+4682-50909091+62041</f>
        <v>127687576</v>
      </c>
    </row>
    <row r="22" spans="1:6" s="11" customFormat="1" ht="17.25">
      <c r="A22" s="18" t="s">
        <v>45</v>
      </c>
      <c r="B22" s="49">
        <v>5277</v>
      </c>
      <c r="C22" s="25"/>
      <c r="D22" s="49">
        <v>28921049</v>
      </c>
      <c r="E22" s="25"/>
      <c r="F22" s="49">
        <f>29228038</f>
        <v>29228038</v>
      </c>
    </row>
    <row r="23" spans="1:6" s="11" customFormat="1" ht="17.25">
      <c r="A23" s="24" t="s">
        <v>8</v>
      </c>
      <c r="B23" s="57">
        <f>+B20+B21+B22</f>
        <v>149685604</v>
      </c>
      <c r="C23" s="26"/>
      <c r="D23" s="57">
        <f>+D20+D21+D22</f>
        <v>213862423</v>
      </c>
      <c r="E23" s="26"/>
      <c r="F23" s="57">
        <f>+F20+F21+F22</f>
        <v>207762664</v>
      </c>
    </row>
    <row r="24" spans="1:6" s="11" customFormat="1" ht="17.25">
      <c r="A24" s="18"/>
      <c r="B24" s="49"/>
      <c r="C24" s="25"/>
      <c r="D24" s="49"/>
      <c r="E24" s="25"/>
      <c r="F24" s="49"/>
    </row>
    <row r="25" spans="1:6" s="11" customFormat="1" ht="17.25">
      <c r="A25" s="24" t="s">
        <v>9</v>
      </c>
      <c r="B25" s="49"/>
      <c r="C25" s="25"/>
      <c r="D25" s="49"/>
      <c r="E25" s="25"/>
      <c r="F25" s="49"/>
    </row>
    <row r="26" spans="1:6" s="11" customFormat="1" ht="17.25">
      <c r="A26" s="18" t="s">
        <v>10</v>
      </c>
      <c r="B26" s="49" t="s">
        <v>11</v>
      </c>
      <c r="C26" s="25"/>
      <c r="D26" s="49" t="s">
        <v>11</v>
      </c>
      <c r="E26" s="25"/>
      <c r="F26" s="49" t="s">
        <v>11</v>
      </c>
    </row>
    <row r="27" spans="1:6" s="11" customFormat="1" ht="17.25">
      <c r="A27" s="18" t="s">
        <v>12</v>
      </c>
      <c r="B27" s="49">
        <v>145418</v>
      </c>
      <c r="C27" s="25"/>
      <c r="D27" s="49">
        <v>648</v>
      </c>
      <c r="E27" s="25"/>
      <c r="F27" s="49">
        <v>651</v>
      </c>
    </row>
    <row r="28" spans="1:6" s="11" customFormat="1" ht="17.25">
      <c r="A28" s="18" t="s">
        <v>13</v>
      </c>
      <c r="B28" s="49">
        <v>1363564</v>
      </c>
      <c r="C28" s="25"/>
      <c r="D28" s="49">
        <f>2727-2727</f>
        <v>0</v>
      </c>
      <c r="E28" s="25"/>
      <c r="F28" s="49">
        <f>0</f>
        <v>0</v>
      </c>
    </row>
    <row r="29" spans="1:6" s="11" customFormat="1" ht="17.25">
      <c r="A29" s="18" t="s">
        <v>14</v>
      </c>
      <c r="B29" s="49">
        <v>86507698</v>
      </c>
      <c r="C29" s="25"/>
      <c r="D29" s="49">
        <v>87499502</v>
      </c>
      <c r="E29" s="25"/>
      <c r="F29" s="49">
        <v>87349491</v>
      </c>
    </row>
    <row r="30" spans="1:6" s="11" customFormat="1" ht="17.25">
      <c r="A30" s="18" t="s">
        <v>15</v>
      </c>
      <c r="B30" s="50">
        <f>-9170159+9224742-18028</f>
        <v>36555</v>
      </c>
      <c r="C30" s="25"/>
      <c r="D30" s="50">
        <f>-3502359+4000001+2652546</f>
        <v>3150188</v>
      </c>
      <c r="E30" s="25"/>
      <c r="F30" s="50">
        <f>3397628+3920618</f>
        <v>7318246</v>
      </c>
    </row>
    <row r="31" spans="1:6" s="11" customFormat="1" ht="17.25">
      <c r="A31" s="18" t="s">
        <v>16</v>
      </c>
      <c r="B31" s="49">
        <f>19831644+8172000</f>
        <v>28003644</v>
      </c>
      <c r="C31" s="27"/>
      <c r="D31" s="49">
        <f>10926309+5160000</f>
        <v>16086309</v>
      </c>
      <c r="E31" s="28"/>
      <c r="F31" s="49">
        <f>10365094+5758000</f>
        <v>16123094</v>
      </c>
    </row>
    <row r="32" spans="1:6" s="11" customFormat="1" ht="17.25">
      <c r="A32" s="18" t="s">
        <v>17</v>
      </c>
      <c r="B32" s="49">
        <v>507</v>
      </c>
      <c r="C32" s="25"/>
      <c r="D32" s="49">
        <v>188</v>
      </c>
      <c r="E32" s="25"/>
      <c r="F32" s="49">
        <v>71</v>
      </c>
    </row>
    <row r="33" spans="1:6" s="11" customFormat="1" ht="17.25">
      <c r="A33" s="18" t="s">
        <v>18</v>
      </c>
      <c r="B33" s="51">
        <f>44680+3598145+18699+1913551+9510+6579255+24194606-8172000</f>
        <v>28186446</v>
      </c>
      <c r="C33" s="25"/>
      <c r="D33" s="51">
        <f>98311+4138110-45821+3743625+10639286+14137234-5160000</f>
        <v>27550745</v>
      </c>
      <c r="E33" s="25"/>
      <c r="F33" s="51">
        <f>74961+4138110-45821+3744637+8965605+14418846-5758000</f>
        <v>25538338</v>
      </c>
    </row>
    <row r="34" spans="1:6" s="11" customFormat="1" ht="17.25">
      <c r="A34" s="24" t="s">
        <v>19</v>
      </c>
      <c r="B34" s="52">
        <f>SUM(B27:B33)</f>
        <v>144243832</v>
      </c>
      <c r="C34" s="29"/>
      <c r="D34" s="52">
        <f>SUM(D27:D33)</f>
        <v>134287580</v>
      </c>
      <c r="E34" s="29"/>
      <c r="F34" s="52">
        <f>SUM(F27:F33)</f>
        <v>136329891</v>
      </c>
    </row>
    <row r="35" spans="1:6" s="11" customFormat="1" ht="18" thickBot="1">
      <c r="A35" s="22" t="s">
        <v>20</v>
      </c>
      <c r="B35" s="53">
        <f>+B34+B23</f>
        <v>293929436</v>
      </c>
      <c r="C35" s="29"/>
      <c r="D35" s="53">
        <f>+D34+D23</f>
        <v>348150003</v>
      </c>
      <c r="E35" s="29"/>
      <c r="F35" s="53">
        <f>+F34+F23</f>
        <v>344092555</v>
      </c>
    </row>
    <row r="36" spans="1:6" s="11" customFormat="1" ht="18" thickTop="1">
      <c r="A36" s="18"/>
      <c r="B36" s="49"/>
      <c r="C36" s="25"/>
      <c r="D36" s="49"/>
      <c r="E36" s="25"/>
      <c r="F36" s="49"/>
    </row>
    <row r="37" spans="1:6" s="11" customFormat="1" ht="17.25">
      <c r="A37" s="22" t="s">
        <v>21</v>
      </c>
      <c r="B37" s="49"/>
      <c r="C37" s="25"/>
      <c r="D37" s="49"/>
      <c r="E37" s="25"/>
      <c r="F37" s="49"/>
    </row>
    <row r="38" spans="1:6" s="11" customFormat="1" ht="17.25">
      <c r="A38" s="24" t="s">
        <v>22</v>
      </c>
      <c r="B38" s="54"/>
      <c r="C38" s="25"/>
      <c r="D38" s="54"/>
      <c r="E38" s="25"/>
      <c r="F38" s="54"/>
    </row>
    <row r="39" spans="1:6" s="11" customFormat="1" ht="17.25">
      <c r="A39" s="18" t="s">
        <v>23</v>
      </c>
      <c r="B39" s="49">
        <f>40900656+1907895</f>
        <v>42808551</v>
      </c>
      <c r="C39" s="25"/>
      <c r="D39" s="49">
        <f>43272623+2029021</f>
        <v>45301644</v>
      </c>
      <c r="E39" s="25"/>
      <c r="F39" s="49">
        <f>44936754+2031112</f>
        <v>46967866</v>
      </c>
    </row>
    <row r="40" spans="1:6" s="11" customFormat="1" ht="17.25">
      <c r="A40" s="18" t="s">
        <v>24</v>
      </c>
      <c r="B40" s="54"/>
      <c r="C40" s="25"/>
      <c r="D40" s="54"/>
      <c r="E40" s="25"/>
      <c r="F40" s="54"/>
    </row>
    <row r="41" spans="1:6" s="11" customFormat="1" ht="17.25">
      <c r="A41" s="18" t="s">
        <v>25</v>
      </c>
      <c r="B41" s="49">
        <f>4111047+1028613+94137+771814+210</f>
        <v>6005821</v>
      </c>
      <c r="C41" s="25"/>
      <c r="D41" s="49">
        <f>15468285+62073+1563849+222+792422</f>
        <v>17886851</v>
      </c>
      <c r="E41" s="25"/>
      <c r="F41" s="49">
        <f>6086367+59569+794811+1563849+222</f>
        <v>8504818</v>
      </c>
    </row>
    <row r="42" spans="1:6" s="11" customFormat="1" ht="17.25">
      <c r="A42" s="18" t="s">
        <v>26</v>
      </c>
      <c r="B42" s="49">
        <v>79044</v>
      </c>
      <c r="C42" s="25"/>
      <c r="D42" s="49">
        <f>55172637+6644</f>
        <v>55179281</v>
      </c>
      <c r="E42" s="25"/>
      <c r="F42" s="49">
        <f>55172637+6644</f>
        <v>55179281</v>
      </c>
    </row>
    <row r="43" spans="1:6" s="11" customFormat="1" ht="17.25">
      <c r="A43" s="18" t="s">
        <v>27</v>
      </c>
      <c r="B43" s="49">
        <f>84394307-3659000</f>
        <v>80735307</v>
      </c>
      <c r="C43" s="25"/>
      <c r="D43" s="49">
        <f>61459683-4104000</f>
        <v>57355683</v>
      </c>
      <c r="E43" s="25"/>
      <c r="F43" s="49">
        <f>74602487-15324000</f>
        <v>59278487</v>
      </c>
    </row>
    <row r="44" spans="1:6" s="11" customFormat="1" ht="17.25">
      <c r="A44" s="18" t="s">
        <v>28</v>
      </c>
      <c r="B44" s="51">
        <f>124445424-94137-105224151-15620588-1028613-771814-210-79044</f>
        <v>1626867</v>
      </c>
      <c r="C44" s="25"/>
      <c r="D44" s="49">
        <f>170467437-62073-110732745-1563849-222-792422-55179281</f>
        <v>2136845</v>
      </c>
      <c r="E44" s="25"/>
      <c r="F44" s="49">
        <f>166238801-59569-106371131-794811-1563849-222-55179281</f>
        <v>2269938</v>
      </c>
    </row>
    <row r="45" spans="1:6" s="11" customFormat="1" ht="17.25">
      <c r="A45" s="24" t="s">
        <v>29</v>
      </c>
      <c r="B45" s="58">
        <f>SUM(B39:B44)</f>
        <v>131255590</v>
      </c>
      <c r="C45" s="29"/>
      <c r="D45" s="52">
        <f>SUM(D39:D44)</f>
        <v>177860304</v>
      </c>
      <c r="E45" s="29"/>
      <c r="F45" s="52">
        <f>SUM(F39:F44)</f>
        <v>172200390</v>
      </c>
    </row>
    <row r="46" spans="1:6" s="11" customFormat="1" ht="17.25">
      <c r="A46" s="30"/>
      <c r="B46" s="49"/>
      <c r="C46" s="25"/>
      <c r="D46" s="49"/>
      <c r="E46" s="25"/>
      <c r="F46" s="49"/>
    </row>
    <row r="47" spans="1:6" s="11" customFormat="1" ht="17.25">
      <c r="A47" s="24" t="s">
        <v>30</v>
      </c>
      <c r="B47" s="49"/>
      <c r="C47" s="25"/>
      <c r="D47" s="49"/>
      <c r="E47" s="25"/>
      <c r="F47" s="49"/>
    </row>
    <row r="48" spans="1:6" s="11" customFormat="1" ht="17.25">
      <c r="A48" s="18" t="s">
        <v>46</v>
      </c>
      <c r="B48" s="49">
        <v>4694987</v>
      </c>
      <c r="C48" s="25"/>
      <c r="D48" s="49">
        <v>34786044</v>
      </c>
      <c r="E48" s="25"/>
      <c r="F48" s="49">
        <v>35155287</v>
      </c>
    </row>
    <row r="49" spans="1:6" s="11" customFormat="1" ht="17.25">
      <c r="A49" s="18" t="s">
        <v>31</v>
      </c>
      <c r="B49" s="49">
        <f>428236+95492</f>
        <v>523728</v>
      </c>
      <c r="C49" s="25"/>
      <c r="D49" s="49">
        <f>0+175466-5980</f>
        <v>169486</v>
      </c>
      <c r="E49" s="25"/>
      <c r="F49" s="49">
        <f>153182+26388</f>
        <v>179570</v>
      </c>
    </row>
    <row r="50" spans="1:6" s="11" customFormat="1" ht="17.25">
      <c r="A50" s="18" t="s">
        <v>32</v>
      </c>
      <c r="B50" s="49">
        <f>3659000+105224151+15620588</f>
        <v>124503739</v>
      </c>
      <c r="C50" s="25"/>
      <c r="D50" s="49">
        <f>4104000+110732745</f>
        <v>114836745</v>
      </c>
      <c r="E50" s="25"/>
      <c r="F50" s="49">
        <f>15324000+106371131</f>
        <v>121695131</v>
      </c>
    </row>
    <row r="51" spans="1:6" s="11" customFormat="1" ht="17.25">
      <c r="A51" s="18" t="s">
        <v>33</v>
      </c>
      <c r="B51" s="49">
        <f>10303656+9224742-18028</f>
        <v>19510370</v>
      </c>
      <c r="C51" s="25"/>
      <c r="D51" s="49">
        <f>-2652546+4000001+2652546</f>
        <v>4000001</v>
      </c>
      <c r="E51" s="25"/>
      <c r="F51" s="49">
        <f>-3920618+3920618</f>
        <v>0</v>
      </c>
    </row>
    <row r="52" spans="1:6" s="11" customFormat="1" ht="17.25">
      <c r="A52" s="18" t="s">
        <v>34</v>
      </c>
      <c r="B52" s="49">
        <f>6617130+1592670</f>
        <v>8209800</v>
      </c>
      <c r="C52" s="25"/>
      <c r="D52" s="49">
        <f>6606333+1635504</f>
        <v>8241837</v>
      </c>
      <c r="E52" s="29"/>
      <c r="F52" s="49">
        <f>5118260+1638333</f>
        <v>6756593</v>
      </c>
    </row>
    <row r="53" spans="1:6" s="11" customFormat="1" ht="17.25">
      <c r="A53" s="24" t="s">
        <v>35</v>
      </c>
      <c r="B53" s="52">
        <f>SUM(B48:B52)</f>
        <v>157442624</v>
      </c>
      <c r="C53" s="29"/>
      <c r="D53" s="52">
        <f>SUM(D48:D52)</f>
        <v>162034113</v>
      </c>
      <c r="E53" s="25"/>
      <c r="F53" s="52">
        <f>SUM(F48:F52)</f>
        <v>163786581</v>
      </c>
    </row>
    <row r="54" spans="1:6" s="11" customFormat="1" ht="17.25">
      <c r="A54" s="18"/>
      <c r="B54" s="49"/>
      <c r="C54" s="25"/>
      <c r="D54" s="49"/>
      <c r="E54" s="25"/>
      <c r="F54" s="49"/>
    </row>
    <row r="55" spans="1:6" s="11" customFormat="1" ht="17.25">
      <c r="A55" s="24" t="s">
        <v>36</v>
      </c>
      <c r="B55" s="49"/>
      <c r="C55" s="25"/>
      <c r="D55" s="49"/>
      <c r="E55" s="25"/>
      <c r="F55" s="49"/>
    </row>
    <row r="56" spans="1:6" s="11" customFormat="1" ht="17.25">
      <c r="A56" s="18" t="s">
        <v>37</v>
      </c>
      <c r="B56" s="49"/>
      <c r="C56" s="25"/>
      <c r="D56" s="49"/>
      <c r="E56" s="25"/>
      <c r="F56" s="49"/>
    </row>
    <row r="57" spans="1:6" s="11" customFormat="1" ht="17.25">
      <c r="A57" s="18" t="s">
        <v>38</v>
      </c>
      <c r="B57" s="49">
        <f>4000</f>
        <v>4000</v>
      </c>
      <c r="C57" s="25"/>
      <c r="D57" s="49">
        <f>4000</f>
        <v>4000</v>
      </c>
      <c r="E57" s="25"/>
      <c r="F57" s="49">
        <f>4000</f>
        <v>4000</v>
      </c>
    </row>
    <row r="58" spans="1:6" s="11" customFormat="1" ht="17.25">
      <c r="A58" s="18" t="s">
        <v>39</v>
      </c>
      <c r="B58" s="49">
        <v>20000</v>
      </c>
      <c r="C58" s="25"/>
      <c r="D58" s="49">
        <v>20000</v>
      </c>
      <c r="E58" s="25"/>
      <c r="F58" s="49">
        <v>20000</v>
      </c>
    </row>
    <row r="59" spans="1:6" s="11" customFormat="1" ht="17.25">
      <c r="A59" s="18" t="s">
        <v>40</v>
      </c>
      <c r="B59" s="51">
        <v>5207222</v>
      </c>
      <c r="C59" s="25"/>
      <c r="D59" s="51">
        <v>8231586</v>
      </c>
      <c r="E59" s="25"/>
      <c r="F59" s="51">
        <v>8081584</v>
      </c>
    </row>
    <row r="60" spans="1:6" s="11" customFormat="1" ht="17.25">
      <c r="A60" s="24" t="s">
        <v>41</v>
      </c>
      <c r="B60" s="55">
        <f>SUM(B57:B59)</f>
        <v>5231222</v>
      </c>
      <c r="C60" s="29"/>
      <c r="D60" s="55">
        <f>SUM(D57:D59)</f>
        <v>8255586</v>
      </c>
      <c r="E60" s="29"/>
      <c r="F60" s="55">
        <f>SUM(F57:F59)</f>
        <v>8105584</v>
      </c>
    </row>
    <row r="61" spans="1:6" s="11" customFormat="1" ht="18" thickBot="1">
      <c r="A61" s="31" t="s">
        <v>42</v>
      </c>
      <c r="B61" s="56">
        <f>B45+B53+B60</f>
        <v>293929436</v>
      </c>
      <c r="C61" s="32"/>
      <c r="D61" s="56">
        <f>D45+D53+D60</f>
        <v>348150003</v>
      </c>
      <c r="E61" s="33"/>
      <c r="F61" s="56">
        <f>F45+F53+F60</f>
        <v>344092555</v>
      </c>
    </row>
    <row r="62" spans="1:6" s="11" customFormat="1" ht="18" thickTop="1">
      <c r="A62" s="18"/>
      <c r="B62" s="59"/>
      <c r="C62" s="23"/>
      <c r="D62" s="34"/>
      <c r="E62" s="34"/>
      <c r="F62" s="35"/>
    </row>
    <row r="63" spans="1:6" s="11" customFormat="1" ht="15" customHeight="1">
      <c r="A63" s="15"/>
      <c r="B63" s="16"/>
      <c r="C63" s="36"/>
      <c r="D63" s="16"/>
      <c r="E63" s="36"/>
      <c r="F63" s="17"/>
    </row>
    <row r="64" spans="1:6" s="11" customFormat="1" ht="19.5" customHeight="1">
      <c r="A64" s="37" t="s">
        <v>43</v>
      </c>
      <c r="B64" s="38"/>
      <c r="C64" s="39"/>
      <c r="D64" s="40"/>
      <c r="E64" s="40"/>
      <c r="F64" s="60"/>
    </row>
    <row r="65" spans="1:6" s="11" customFormat="1" ht="17.25">
      <c r="A65" s="18" t="s">
        <v>52</v>
      </c>
      <c r="B65" s="38"/>
      <c r="C65" s="39"/>
      <c r="D65" s="41"/>
      <c r="E65" s="38"/>
      <c r="F65" s="41"/>
    </row>
    <row r="66" spans="1:8" s="11" customFormat="1" ht="17.25">
      <c r="A66" s="18" t="s">
        <v>44</v>
      </c>
      <c r="B66" s="23"/>
      <c r="C66" s="23"/>
      <c r="D66" s="42"/>
      <c r="E66" s="23"/>
      <c r="F66" s="42"/>
      <c r="G66" s="23"/>
      <c r="H66" s="23"/>
    </row>
    <row r="67" spans="1:6" s="11" customFormat="1" ht="17.25">
      <c r="A67" s="15" t="s">
        <v>47</v>
      </c>
      <c r="B67" s="43"/>
      <c r="C67" s="43"/>
      <c r="D67" s="44"/>
      <c r="E67" s="43"/>
      <c r="F67" s="44"/>
    </row>
    <row r="69" ht="15" hidden="1"/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2010-06-04T17:22:14Z</cp:lastPrinted>
  <dcterms:created xsi:type="dcterms:W3CDTF">2009-02-04T22:27:27Z</dcterms:created>
  <dcterms:modified xsi:type="dcterms:W3CDTF">2010-06-09T12:45:30Z</dcterms:modified>
  <cp:category/>
  <cp:version/>
  <cp:contentType/>
  <cp:contentStatus/>
</cp:coreProperties>
</file>