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5480" windowHeight="11460"/>
  </bookViews>
  <sheets>
    <sheet name="balance sheet - 23 Nov. 2011" sheetId="1" r:id="rId1"/>
  </sheets>
  <definedNames>
    <definedName name="_xlnm.Print_Area" localSheetId="0">'balance sheet - 23 Nov. 2011'!$A$11:$G$67</definedName>
    <definedName name="_xlnm.Print_Area">'balance sheet - 23 Nov. 2011'!$A$10:$F$63</definedName>
  </definedNames>
  <calcPr calcId="145621"/>
</workbook>
</file>

<file path=xl/calcChain.xml><?xml version="1.0" encoding="utf-8"?>
<calcChain xmlns="http://schemas.openxmlformats.org/spreadsheetml/2006/main">
  <c r="F33" i="1" l="1"/>
  <c r="F21" i="1"/>
  <c r="F30" i="1"/>
  <c r="F51" i="1"/>
  <c r="F49" i="1"/>
  <c r="F52" i="1"/>
  <c r="B57" i="1" l="1"/>
  <c r="B60" i="1" s="1"/>
  <c r="B52" i="1"/>
  <c r="B51" i="1"/>
  <c r="B53" i="1" s="1"/>
  <c r="B50" i="1"/>
  <c r="B49" i="1"/>
  <c r="B44" i="1"/>
  <c r="B43" i="1"/>
  <c r="B42" i="1"/>
  <c r="B41" i="1"/>
  <c r="B39" i="1"/>
  <c r="B45" i="1" s="1"/>
  <c r="B33" i="1"/>
  <c r="B31" i="1"/>
  <c r="B30" i="1"/>
  <c r="B28" i="1"/>
  <c r="B27" i="1"/>
  <c r="B34" i="1" s="1"/>
  <c r="B21" i="1"/>
  <c r="B20" i="1"/>
  <c r="B23" i="1" s="1"/>
  <c r="F50" i="1"/>
  <c r="F44" i="1"/>
  <c r="F43" i="1"/>
  <c r="F41" i="1"/>
  <c r="H41" i="1"/>
  <c r="H42" i="1" s="1"/>
  <c r="B35" i="1" l="1"/>
  <c r="B61" i="1"/>
  <c r="F39" i="1"/>
  <c r="F20" i="1"/>
  <c r="D57" i="1"/>
  <c r="D60" i="1" s="1"/>
  <c r="D52" i="1"/>
  <c r="D51" i="1"/>
  <c r="D50" i="1"/>
  <c r="D49" i="1"/>
  <c r="D48" i="1"/>
  <c r="D44" i="1"/>
  <c r="D43" i="1"/>
  <c r="D42" i="1"/>
  <c r="D41" i="1"/>
  <c r="D39" i="1"/>
  <c r="D33" i="1"/>
  <c r="D30" i="1"/>
  <c r="D28" i="1"/>
  <c r="D27" i="1"/>
  <c r="D23" i="1"/>
  <c r="D21" i="1"/>
  <c r="D20" i="1"/>
  <c r="D34" i="1" l="1"/>
  <c r="D35" i="1" s="1"/>
  <c r="D45" i="1"/>
  <c r="D61" i="1" s="1"/>
  <c r="D53" i="1"/>
  <c r="F27" i="1" l="1"/>
  <c r="F48" i="1" l="1"/>
  <c r="F42" i="1"/>
  <c r="F53" i="1" l="1"/>
  <c r="G50" i="1"/>
  <c r="G43" i="1"/>
  <c r="G30" i="1"/>
  <c r="G42" i="1"/>
  <c r="G57" i="1"/>
  <c r="G21" i="1"/>
  <c r="G51" i="1"/>
  <c r="G41" i="1"/>
  <c r="G44" i="1"/>
  <c r="G22" i="1"/>
  <c r="F28" i="1"/>
  <c r="F34" i="1" s="1"/>
  <c r="G28" i="1"/>
  <c r="G29" i="1"/>
  <c r="G31" i="1"/>
  <c r="G32" i="1"/>
  <c r="G33" i="1"/>
  <c r="G39" i="1"/>
  <c r="G48" i="1"/>
  <c r="G49" i="1"/>
  <c r="F57" i="1"/>
  <c r="F60" i="1"/>
  <c r="G58" i="1"/>
  <c r="G59" i="1"/>
  <c r="E69" i="1"/>
  <c r="F23" i="1"/>
  <c r="G52" i="1"/>
  <c r="F45" i="1"/>
  <c r="D69" i="1"/>
  <c r="G20" i="1"/>
  <c r="G27" i="1"/>
  <c r="D70" i="1"/>
  <c r="G23" i="1" l="1"/>
  <c r="G45" i="1"/>
  <c r="G34" i="1"/>
  <c r="F35" i="1"/>
  <c r="G35" i="1" s="1"/>
  <c r="G60" i="1"/>
  <c r="F61" i="1"/>
  <c r="G53" i="1"/>
  <c r="B69" i="1"/>
  <c r="B70" i="1"/>
  <c r="F70" i="1" l="1"/>
  <c r="G61" i="1"/>
  <c r="F69" i="1"/>
</calcChain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<sst xmlns="http://schemas.openxmlformats.org/spreadsheetml/2006/main" count="62" uniqueCount="57">
  <si>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</si>
  <si>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</si>
  <si>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</si>
  <si>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</si>
  <si>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</si>
  <si>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</si>
  <si>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</si>
  <si>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</si>
  <si>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</si>
  <si>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</si>
  <si>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</si>
  <si>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</si>
  <si>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</si>
  <si>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</si>
  <si>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</si>
  <si>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</si>
  <si>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</si>
  <si>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</si>
  <si>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</si>
  <si>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</si>
  <si>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</si>
  <si>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</si>
  <si>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</si>
  <si>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</si>
  <si>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</si>
  <si>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</si>
  <si>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</si>
  <si>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</si>
  <si>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</si>
  <si>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</si>
  <si>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</si>
  <si>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</si>
  <si>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</si>
  <si>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</si>
  <si>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</si>
  <si>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</si>
  <si>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</si>
  <si>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</si>
  <si>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</si>
  <si>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</si>
  <si>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</si>
  <si>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</si>
  <si>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</si>
  <si>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</si>
  <si>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</si>
  <si>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</si>
  <si>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2"/>
      </rPr>
      <t>f</t>
    </r>
    <r>
      <rPr>
        <b/>
        <sz val="12"/>
        <rFont val="Arial Unicode MS"/>
        <family val="2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2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</si>
  <si>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</si>
  <si>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</si>
  <si>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09 NOVEMBER</t>
  </si>
  <si>
    <t>As At 23 NOVEMBER 2011</t>
  </si>
  <si>
    <t>23 NOVEMBER</t>
  </si>
  <si>
    <t>10Nov11 - 23Nov11</t>
  </si>
  <si>
    <r>
      <t xml:space="preserve">* </t>
    </r>
    <r>
      <rPr>
        <sz val="12"/>
        <rFont val="Arial Unicode MS"/>
        <family val="2"/>
      </rPr>
      <t>The year to date loss of $4.03bn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</si>
  <si>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24 NOVEMBER</t>
  </si>
  <si>
    <t>News Release</t>
  </si>
  <si>
    <t>07 December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</si>
</sst>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</font>
    <font>
      <b/>
      <i/>
      <sz val="12"/>
      <color indexed="14"/>
      <name val="Arial Unicode MS"/>
      <family val="2"/>
    </font>
    <font>
      <b/>
      <sz val="12"/>
      <name val="Arial MT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name val="Arial MT"/>
    </font>
    <font>
      <b/>
      <sz val="14"/>
      <color indexed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00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3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5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0" fillId="2" borderId="8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5" xfId="0" applyNumberFormat="1" applyFont="1" applyFill="1" applyBorder="1" applyAlignment="1">
      <alignment horizontal="center"/>
    </xf>
    <xf numFmtId="37" fontId="7" fillId="2" borderId="4" xfId="0" applyNumberFormat="1" applyFont="1" applyFill="1" applyBorder="1"/>
    <xf numFmtId="37" fontId="4" fillId="2" borderId="0" xfId="0" applyNumberFormat="1" applyFont="1" applyFill="1" applyBorder="1"/>
    <xf numFmtId="37" fontId="0" fillId="2" borderId="5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0" fillId="0" borderId="0" xfId="0" applyNumberFormat="1" applyFill="1"/>
    <xf numFmtId="37" fontId="9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" fillId="2" borderId="9" xfId="0" applyNumberFormat="1" applyFont="1" applyFill="1" applyBorder="1"/>
    <xf numFmtId="37" fontId="1" fillId="2" borderId="10" xfId="0" applyNumberFormat="1" applyFont="1" applyFill="1" applyBorder="1"/>
    <xf numFmtId="39" fontId="0" fillId="2" borderId="0" xfId="0" applyNumberFormat="1" applyFont="1" applyFill="1"/>
    <xf numFmtId="37" fontId="0" fillId="2" borderId="11" xfId="0" applyNumberFormat="1" applyFont="1" applyFill="1" applyBorder="1"/>
    <xf numFmtId="37" fontId="1" fillId="2" borderId="11" xfId="0" applyNumberFormat="1" applyFont="1" applyFill="1" applyBorder="1"/>
    <xf numFmtId="37" fontId="11" fillId="2" borderId="4" xfId="0" applyNumberFormat="1" applyFont="1" applyFill="1" applyBorder="1"/>
    <xf numFmtId="37" fontId="0" fillId="2" borderId="5" xfId="0" applyNumberFormat="1" applyFont="1" applyFill="1" applyBorder="1" applyAlignment="1">
      <alignment horizontal="right"/>
    </xf>
    <xf numFmtId="37" fontId="12" fillId="2" borderId="0" xfId="0" applyNumberFormat="1" applyFont="1" applyFill="1"/>
    <xf numFmtId="37" fontId="7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1" fillId="2" borderId="15" xfId="0" applyNumberFormat="1" applyFont="1" applyFill="1" applyBorder="1"/>
    <xf numFmtId="37" fontId="4" fillId="2" borderId="16" xfId="0" applyNumberFormat="1" applyFont="1" applyFill="1" applyBorder="1"/>
    <xf numFmtId="37" fontId="4" fillId="2" borderId="17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4" fillId="2" borderId="0" xfId="0" applyNumberFormat="1" applyFont="1" applyFill="1" applyBorder="1"/>
    <xf numFmtId="37" fontId="13" fillId="2" borderId="0" xfId="0" applyNumberFormat="1" applyFont="1" applyFill="1" applyBorder="1"/>
    <xf numFmtId="37" fontId="14" fillId="2" borderId="5" xfId="0" applyNumberFormat="1" applyFont="1" applyFill="1" applyBorder="1"/>
    <xf numFmtId="37" fontId="4" fillId="2" borderId="5" xfId="0" applyNumberFormat="1" applyFont="1" applyFill="1" applyBorder="1"/>
    <xf numFmtId="37" fontId="0" fillId="2" borderId="0" xfId="0" applyNumberFormat="1" applyFont="1" applyFill="1" applyBorder="1"/>
    <xf numFmtId="37" fontId="14" fillId="2" borderId="7" xfId="0" applyNumberFormat="1" applyFont="1" applyFill="1" applyBorder="1"/>
    <xf numFmtId="37" fontId="14" fillId="2" borderId="8" xfId="0" applyNumberFormat="1" applyFont="1" applyFill="1" applyBorder="1"/>
    <xf numFmtId="37" fontId="0" fillId="3" borderId="0" xfId="0" applyNumberFormat="1" applyFill="1"/>
    <xf numFmtId="37" fontId="8" fillId="3" borderId="1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37" fontId="0" fillId="2" borderId="12" xfId="0" applyNumberFormat="1" applyFill="1" applyBorder="1"/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5" fillId="2" borderId="1" xfId="0" applyNumberFormat="1" applyFont="1" applyFill="1" applyBorder="1"/>
    <xf numFmtId="37" fontId="10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37" fontId="16" fillId="2" borderId="3" xfId="0" applyNumberFormat="1" applyFont="1" applyFill="1" applyBorder="1"/>
    <xf numFmtId="37" fontId="16" fillId="2" borderId="0" xfId="0" applyNumberFormat="1" applyFont="1" applyFill="1"/>
    <xf numFmtId="0" fontId="5" fillId="4" borderId="19" xfId="0" applyNumberFormat="1" applyFont="1" applyFill="1" applyBorder="1" applyAlignment="1">
      <alignment horizontal="center"/>
    </xf>
    <xf numFmtId="16" fontId="5" fillId="4" borderId="19" xfId="0" quotePrefix="1" applyNumberFormat="1" applyFont="1" applyFill="1" applyBorder="1" applyAlignment="1">
      <alignment horizontal="center"/>
    </xf>
    <xf numFmtId="37" fontId="5" fillId="4" borderId="19" xfId="0" applyNumberFormat="1" applyFont="1" applyFill="1" applyBorder="1" applyAlignment="1">
      <alignment horizontal="center"/>
    </xf>
    <xf numFmtId="37" fontId="4" fillId="4" borderId="19" xfId="0" applyNumberFormat="1" applyFont="1" applyFill="1" applyBorder="1"/>
    <xf numFmtId="37" fontId="4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4" fillId="4" borderId="19" xfId="0" applyNumberFormat="1" applyFont="1" applyFill="1" applyBorder="1" applyProtection="1">
      <protection hidden="1"/>
    </xf>
    <xf numFmtId="37" fontId="4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4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5" fillId="5" borderId="19" xfId="0" applyNumberFormat="1" applyFont="1" applyFill="1" applyBorder="1" applyAlignment="1">
      <alignment horizontal="center"/>
    </xf>
    <xf numFmtId="16" fontId="5" fillId="5" borderId="19" xfId="0" quotePrefix="1" applyNumberFormat="1" applyFont="1" applyFill="1" applyBorder="1" applyAlignment="1">
      <alignment horizontal="center"/>
    </xf>
    <xf numFmtId="37" fontId="5" fillId="5" borderId="19" xfId="0" applyNumberFormat="1" applyFont="1" applyFill="1" applyBorder="1" applyAlignment="1">
      <alignment horizontal="center"/>
    </xf>
    <xf numFmtId="37" fontId="4" fillId="5" borderId="19" xfId="0" applyNumberFormat="1" applyFont="1" applyFill="1" applyBorder="1"/>
    <xf numFmtId="37" fontId="4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4" fillId="5" borderId="19" xfId="0" applyNumberFormat="1" applyFont="1" applyFill="1" applyBorder="1" applyProtection="1">
      <protection hidden="1"/>
    </xf>
    <xf numFmtId="37" fontId="4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4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0" fillId="5" borderId="0" xfId="0" applyNumberFormat="1" applyFont="1" applyFill="1"/>
    <xf numFmtId="37" fontId="17" fillId="2" borderId="0" xfId="0" applyNumberFormat="1" applyFont="1" applyFill="1" applyBorder="1"/>
    <xf numFmtId="49" fontId="17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showOutlineSymbols="0" zoomScale="75" zoomScaleNormal="75" zoomScaleSheetLayoutView="75" workbookViewId="0">
      <selection activeCell="A79" sqref="A7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5" customWidth="1"/>
    <col min="6" max="6" width="17.88671875" customWidth="1"/>
    <col min="7" max="7" width="17.109375" hidden="1" customWidth="1"/>
    <col min="8" max="8" width="17" hidden="1" customWidth="1"/>
  </cols>
  <sheetData>
    <row r="1" spans="1:8">
      <c r="A1" s="1"/>
      <c r="B1" s="2"/>
      <c r="C1" s="2"/>
      <c r="D1" s="2"/>
      <c r="E1" s="2"/>
      <c r="F1" s="2"/>
      <c r="G1" s="3"/>
    </row>
    <row r="2" spans="1:8">
      <c r="A2" s="4"/>
      <c r="B2" s="5"/>
      <c r="C2" s="5"/>
      <c r="D2" s="5"/>
      <c r="F2" s="5"/>
      <c r="G2" s="6"/>
    </row>
    <row r="3" spans="1:8">
      <c r="A3" s="4"/>
      <c r="B3" s="5"/>
      <c r="C3" s="5"/>
      <c r="D3" s="5"/>
      <c r="F3" s="5"/>
      <c r="G3" s="6"/>
    </row>
    <row r="4" spans="1:8">
      <c r="A4" s="4"/>
      <c r="B4" s="5"/>
      <c r="C4" s="5"/>
      <c r="D4" s="5"/>
      <c r="F4" s="5"/>
      <c r="G4" s="6"/>
    </row>
    <row r="5" spans="1:8">
      <c r="A5" s="4"/>
      <c r="B5" s="5"/>
      <c r="C5" s="5"/>
      <c r="D5" s="5"/>
      <c r="F5" s="5"/>
      <c r="G5" s="6"/>
    </row>
    <row r="6" spans="1:8" ht="18.75">
      <c r="A6" s="98" t="s">
        <v>55</v>
      </c>
      <c r="B6" s="5"/>
      <c r="C6" s="5"/>
      <c r="D6" s="5"/>
      <c r="F6" s="5"/>
      <c r="G6" s="6"/>
    </row>
    <row r="7" spans="1:8" ht="18.75">
      <c r="A7" s="99" t="s">
        <v>56</v>
      </c>
      <c r="B7" s="5"/>
      <c r="C7" s="5"/>
      <c r="D7" s="5"/>
      <c r="F7" s="5"/>
      <c r="G7" s="6"/>
    </row>
    <row r="8" spans="1:8">
      <c r="A8" s="4"/>
      <c r="B8" s="5"/>
      <c r="C8" s="5"/>
      <c r="D8" s="5"/>
      <c r="F8" s="5"/>
      <c r="G8" s="6"/>
    </row>
    <row r="9" spans="1:8">
      <c r="A9" s="4"/>
      <c r="B9" s="5"/>
      <c r="C9" s="5"/>
      <c r="D9" s="5"/>
      <c r="F9" s="5"/>
      <c r="G9" s="6"/>
    </row>
    <row r="10" spans="1:8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84">
        <v>2010</v>
      </c>
      <c r="C15" s="22"/>
      <c r="D15" s="84">
        <v>2011</v>
      </c>
      <c r="E15" s="23"/>
      <c r="F15" s="71">
        <v>2011</v>
      </c>
      <c r="G15" s="24" t="s">
        <v>3</v>
      </c>
      <c r="H15"/>
    </row>
    <row r="16" spans="1:8" s="14" customFormat="1" ht="17.25">
      <c r="A16" s="21"/>
      <c r="B16" s="85" t="s">
        <v>54</v>
      </c>
      <c r="C16" s="25"/>
      <c r="D16" s="85" t="s">
        <v>49</v>
      </c>
      <c r="E16" s="25"/>
      <c r="F16" s="72" t="s">
        <v>51</v>
      </c>
      <c r="G16" s="26" t="s">
        <v>52</v>
      </c>
      <c r="H16"/>
    </row>
    <row r="17" spans="1:8" s="14" customFormat="1" ht="17.25">
      <c r="A17" s="21"/>
      <c r="B17" s="86" t="s">
        <v>4</v>
      </c>
      <c r="C17" s="25"/>
      <c r="D17" s="86" t="s">
        <v>4</v>
      </c>
      <c r="E17" s="25"/>
      <c r="F17" s="73" t="s">
        <v>4</v>
      </c>
      <c r="G17" s="24" t="s">
        <v>4</v>
      </c>
      <c r="H17"/>
    </row>
    <row r="18" spans="1:8" s="14" customFormat="1" ht="17.25">
      <c r="A18" s="27" t="s">
        <v>5</v>
      </c>
      <c r="B18" s="87"/>
      <c r="C18" s="28"/>
      <c r="D18" s="87"/>
      <c r="E18" s="28"/>
      <c r="F18" s="74"/>
      <c r="G18" s="29"/>
      <c r="H18"/>
    </row>
    <row r="19" spans="1:8" s="14" customFormat="1" ht="17.25">
      <c r="A19" s="30" t="s">
        <v>6</v>
      </c>
      <c r="B19" s="87"/>
      <c r="C19" s="28"/>
      <c r="D19" s="87"/>
      <c r="E19" s="28"/>
      <c r="F19" s="74"/>
      <c r="G19" s="29"/>
      <c r="H19"/>
    </row>
    <row r="20" spans="1:8" s="14" customFormat="1" ht="17.25">
      <c r="A20" s="21" t="s">
        <v>7</v>
      </c>
      <c r="B20" s="88">
        <f>47820819-51821</f>
        <v>47768998</v>
      </c>
      <c r="C20" s="31"/>
      <c r="D20" s="88">
        <f>46196552-22882</f>
        <v>46173670</v>
      </c>
      <c r="E20" s="31"/>
      <c r="F20" s="75">
        <f>49015810-24794</f>
        <v>48991016</v>
      </c>
      <c r="G20" s="29">
        <f>F20-D20</f>
        <v>2817346</v>
      </c>
      <c r="H20"/>
    </row>
    <row r="21" spans="1:8" s="14" customFormat="1" ht="17.25">
      <c r="A21" s="21" t="s">
        <v>8</v>
      </c>
      <c r="B21" s="88">
        <f>64456+22929068+171218984+13247746+76647-47820819+51821</f>
        <v>159767903</v>
      </c>
      <c r="C21" s="31"/>
      <c r="D21" s="88">
        <f>118492+14895539+189778313+13499163+5828-46196552+22882</f>
        <v>172123665</v>
      </c>
      <c r="E21" s="31"/>
      <c r="F21" s="75">
        <f>114832+16925690+183741859+13455635+953-49015810+24794-24940</f>
        <v>165223013</v>
      </c>
      <c r="G21" s="29">
        <f>F21-D21</f>
        <v>-6900652</v>
      </c>
      <c r="H21" s="32"/>
    </row>
    <row r="22" spans="1:8" s="14" customFormat="1" ht="17.25">
      <c r="A22" s="21" t="s">
        <v>42</v>
      </c>
      <c r="B22" s="88">
        <v>28763048</v>
      </c>
      <c r="C22" s="31"/>
      <c r="D22" s="88">
        <v>28527448</v>
      </c>
      <c r="E22" s="31"/>
      <c r="F22" s="75">
        <v>28527448</v>
      </c>
      <c r="G22" s="29">
        <f>F22-D22</f>
        <v>0</v>
      </c>
      <c r="H22" s="59"/>
    </row>
    <row r="23" spans="1:8" s="14" customFormat="1" ht="17.25">
      <c r="A23" s="30" t="s">
        <v>9</v>
      </c>
      <c r="B23" s="89">
        <f>+B20+B21+B22</f>
        <v>236299949</v>
      </c>
      <c r="C23" s="33"/>
      <c r="D23" s="89">
        <f>+D20+D21+D22</f>
        <v>246824783</v>
      </c>
      <c r="E23" s="33"/>
      <c r="F23" s="76">
        <f>+F20+F21+F22</f>
        <v>242741477</v>
      </c>
      <c r="G23" s="60">
        <f>+G20+G21+G22</f>
        <v>-4083306</v>
      </c>
      <c r="H23"/>
    </row>
    <row r="24" spans="1:8" s="14" customFormat="1" ht="17.25">
      <c r="A24" s="21"/>
      <c r="B24" s="88"/>
      <c r="C24" s="31"/>
      <c r="D24" s="88"/>
      <c r="E24" s="31"/>
      <c r="F24" s="75"/>
      <c r="G24" s="29"/>
      <c r="H24"/>
    </row>
    <row r="25" spans="1:8" s="14" customFormat="1" ht="17.25">
      <c r="A25" s="30" t="s">
        <v>10</v>
      </c>
      <c r="B25" s="88"/>
      <c r="C25" s="31"/>
      <c r="D25" s="88"/>
      <c r="E25" s="31"/>
      <c r="F25" s="75"/>
      <c r="G25" s="29"/>
      <c r="H25"/>
    </row>
    <row r="26" spans="1:8" s="14" customFormat="1" ht="17.25">
      <c r="A26" s="21" t="s">
        <v>11</v>
      </c>
      <c r="B26" s="88" t="s">
        <v>12</v>
      </c>
      <c r="C26" s="31"/>
      <c r="D26" s="88" t="s">
        <v>12</v>
      </c>
      <c r="E26" s="31"/>
      <c r="F26" s="75" t="s">
        <v>12</v>
      </c>
      <c r="G26" s="29"/>
      <c r="H26"/>
    </row>
    <row r="27" spans="1:8" s="14" customFormat="1" ht="17.25">
      <c r="A27" s="21" t="s">
        <v>44</v>
      </c>
      <c r="B27" s="88">
        <f>30+87746968</f>
        <v>87746998</v>
      </c>
      <c r="C27" s="31"/>
      <c r="D27" s="88">
        <f>93038504</f>
        <v>93038504</v>
      </c>
      <c r="E27" s="31"/>
      <c r="F27" s="75">
        <f>93038504</f>
        <v>93038504</v>
      </c>
      <c r="G27" s="29">
        <f t="shared" ref="G27:G33" si="0">F27-D27</f>
        <v>0</v>
      </c>
      <c r="H27"/>
    </row>
    <row r="28" spans="1:8" s="14" customFormat="1" ht="17.25" hidden="1">
      <c r="A28" s="21" t="s">
        <v>13</v>
      </c>
      <c r="B28" s="88">
        <f>0</f>
        <v>0</v>
      </c>
      <c r="C28" s="31"/>
      <c r="D28" s="88">
        <f>0</f>
        <v>0</v>
      </c>
      <c r="E28" s="31"/>
      <c r="F28" s="75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88">
        <v>0</v>
      </c>
      <c r="C29" s="31"/>
      <c r="D29" s="88">
        <v>0</v>
      </c>
      <c r="E29" s="31"/>
      <c r="F29" s="75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90">
        <f>962622+9905701</f>
        <v>10868323</v>
      </c>
      <c r="C30" s="63"/>
      <c r="D30" s="90">
        <f>12042452+3275358</f>
        <v>15317810</v>
      </c>
      <c r="E30" s="31"/>
      <c r="F30" s="77">
        <f>12042464+3871424</f>
        <v>15913888</v>
      </c>
      <c r="G30" s="29">
        <f t="shared" si="0"/>
        <v>596078</v>
      </c>
      <c r="H30"/>
    </row>
    <row r="31" spans="1:8" s="14" customFormat="1" ht="17.25">
      <c r="A31" s="21" t="s">
        <v>15</v>
      </c>
      <c r="B31" s="88">
        <f>2723401+3079000</f>
        <v>5802401</v>
      </c>
      <c r="C31" s="34"/>
      <c r="D31" s="88">
        <v>0</v>
      </c>
      <c r="E31" s="35"/>
      <c r="F31" s="75">
        <v>596000</v>
      </c>
      <c r="G31" s="29">
        <f t="shared" si="0"/>
        <v>596000</v>
      </c>
      <c r="H31"/>
    </row>
    <row r="32" spans="1:8" s="14" customFormat="1" ht="17.25">
      <c r="A32" s="21" t="s">
        <v>16</v>
      </c>
      <c r="B32" s="88">
        <v>20</v>
      </c>
      <c r="C32" s="31"/>
      <c r="D32" s="88">
        <v>0</v>
      </c>
      <c r="E32" s="31"/>
      <c r="F32" s="75">
        <v>0</v>
      </c>
      <c r="G32" s="29">
        <f t="shared" si="0"/>
        <v>0</v>
      </c>
      <c r="H32"/>
    </row>
    <row r="33" spans="1:8" s="14" customFormat="1" ht="17.25">
      <c r="A33" s="21" t="s">
        <v>17</v>
      </c>
      <c r="B33" s="91">
        <f>102548+4138110-45821+3619438+4778460+12485137-3079000</f>
        <v>21998872</v>
      </c>
      <c r="C33" s="31"/>
      <c r="D33" s="91">
        <f>68638+4182063+3475263-2515+4078677+10393744</f>
        <v>22195870</v>
      </c>
      <c r="E33" s="31"/>
      <c r="F33" s="78">
        <f>116539+4182063+3479167-2517+4344552+10989313-596000</f>
        <v>22513117</v>
      </c>
      <c r="G33" s="29">
        <f t="shared" si="0"/>
        <v>317247</v>
      </c>
      <c r="H33"/>
    </row>
    <row r="34" spans="1:8" s="14" customFormat="1" ht="17.25">
      <c r="A34" s="30" t="s">
        <v>18</v>
      </c>
      <c r="B34" s="92">
        <f>SUM(B27:B33)</f>
        <v>126416614</v>
      </c>
      <c r="C34" s="36"/>
      <c r="D34" s="92">
        <f>SUM(D27:D33)</f>
        <v>130552184</v>
      </c>
      <c r="E34" s="36"/>
      <c r="F34" s="79">
        <f>SUM(F27:F33)</f>
        <v>132061509</v>
      </c>
      <c r="G34" s="37">
        <f>SUM(G27:G33)</f>
        <v>1509325</v>
      </c>
      <c r="H34"/>
    </row>
    <row r="35" spans="1:8" s="14" customFormat="1" ht="18" thickBot="1">
      <c r="A35" s="27" t="s">
        <v>19</v>
      </c>
      <c r="B35" s="93">
        <f>+B34+B23</f>
        <v>362716563</v>
      </c>
      <c r="C35" s="36"/>
      <c r="D35" s="93">
        <f>+D34+D23</f>
        <v>377376967</v>
      </c>
      <c r="E35" s="36"/>
      <c r="F35" s="80">
        <f>+F34+F23</f>
        <v>374802986</v>
      </c>
      <c r="G35" s="38">
        <f>F35-D35</f>
        <v>-2573981</v>
      </c>
      <c r="H35"/>
    </row>
    <row r="36" spans="1:8" s="14" customFormat="1" ht="18" thickTop="1">
      <c r="A36" s="21"/>
      <c r="B36" s="88"/>
      <c r="C36" s="31"/>
      <c r="D36" s="88"/>
      <c r="E36" s="31"/>
      <c r="F36" s="75"/>
      <c r="G36" s="29"/>
      <c r="H36"/>
    </row>
    <row r="37" spans="1:8" s="14" customFormat="1" ht="17.25">
      <c r="A37" s="27" t="s">
        <v>20</v>
      </c>
      <c r="B37" s="88"/>
      <c r="C37" s="31"/>
      <c r="D37" s="88"/>
      <c r="E37" s="31"/>
      <c r="F37" s="75"/>
      <c r="G37" s="29"/>
      <c r="H37"/>
    </row>
    <row r="38" spans="1:8" s="14" customFormat="1" ht="17.25">
      <c r="A38" s="30" t="s">
        <v>21</v>
      </c>
      <c r="B38" s="94"/>
      <c r="C38" s="31"/>
      <c r="D38" s="94"/>
      <c r="E38" s="31"/>
      <c r="F38" s="81"/>
      <c r="G38" s="29"/>
      <c r="H38"/>
    </row>
    <row r="39" spans="1:8" s="14" customFormat="1" ht="17.25">
      <c r="A39" s="21" t="s">
        <v>22</v>
      </c>
      <c r="B39" s="88">
        <f>44876334+2166654</f>
        <v>47042988</v>
      </c>
      <c r="C39" s="31"/>
      <c r="D39" s="88">
        <f>48410659+2359670</f>
        <v>50770329</v>
      </c>
      <c r="E39" s="31"/>
      <c r="F39" s="75">
        <f>48570848+2370460</f>
        <v>50941308</v>
      </c>
      <c r="G39" s="29">
        <f>F39-D39</f>
        <v>170979</v>
      </c>
      <c r="H39" s="32"/>
    </row>
    <row r="40" spans="1:8" s="14" customFormat="1" ht="17.25">
      <c r="A40" s="21" t="s">
        <v>23</v>
      </c>
      <c r="B40" s="94"/>
      <c r="C40" s="31"/>
      <c r="D40" s="94"/>
      <c r="E40" s="31"/>
      <c r="F40" s="81"/>
      <c r="G40" s="29"/>
      <c r="H40"/>
    </row>
    <row r="41" spans="1:8" s="14" customFormat="1" ht="17.25">
      <c r="A41" s="21" t="s">
        <v>24</v>
      </c>
      <c r="B41" s="88">
        <f>4365527+29294+177176+227+8332148</f>
        <v>12904372</v>
      </c>
      <c r="C41" s="31"/>
      <c r="D41" s="88">
        <f>17338285+29951+1038153+26339506</f>
        <v>44745895</v>
      </c>
      <c r="E41" s="31"/>
      <c r="F41" s="75">
        <f>13169804+29419+1133394+26329502</f>
        <v>40662119</v>
      </c>
      <c r="G41" s="29">
        <f>F41-D41</f>
        <v>-4083776</v>
      </c>
      <c r="H41" s="97">
        <f>306281790.5-1122959.43-44681.05-20812.98-33.55-5399.77-14095.96-252.24-7281.73-251.06-0.73-251930.12-0.01-29700.46-963.7-(-0.04)-354.18-237144.91-15927.67-115.76</f>
        <v>304529885.22999996</v>
      </c>
    </row>
    <row r="42" spans="1:8" s="14" customFormat="1" ht="17.25">
      <c r="A42" s="21" t="s">
        <v>25</v>
      </c>
      <c r="B42" s="88">
        <f>55666779+12937017+6714</f>
        <v>68610510</v>
      </c>
      <c r="C42" s="31"/>
      <c r="D42" s="88">
        <f>57448234+17774391+6929</f>
        <v>75229554</v>
      </c>
      <c r="E42" s="31"/>
      <c r="F42" s="75">
        <f>57448234+17774391+6929</f>
        <v>75229554</v>
      </c>
      <c r="G42" s="29">
        <f>F42-D42</f>
        <v>0</v>
      </c>
      <c r="H42" s="97">
        <f>+H41*86.4595</f>
        <v>26329501612.043182</v>
      </c>
    </row>
    <row r="43" spans="1:8" s="14" customFormat="1" ht="17.25">
      <c r="A43" s="21" t="s">
        <v>26</v>
      </c>
      <c r="B43" s="88">
        <f>58615567-8917000</f>
        <v>49698567</v>
      </c>
      <c r="C43" s="31"/>
      <c r="D43" s="88">
        <f>44626773</f>
        <v>44626773</v>
      </c>
      <c r="E43" s="31"/>
      <c r="F43" s="75">
        <f>58361607-13540000</f>
        <v>44821607</v>
      </c>
      <c r="G43" s="29">
        <f>F43-D43</f>
        <v>194834</v>
      </c>
      <c r="H43" s="32"/>
    </row>
    <row r="44" spans="1:8" s="14" customFormat="1" ht="17.25">
      <c r="A44" s="21" t="s">
        <v>27</v>
      </c>
      <c r="B44" s="88">
        <f>204143443-29294-124365355-177176-227-8332148-55666779-12937017-6714</f>
        <v>2628733</v>
      </c>
      <c r="C44" s="31"/>
      <c r="D44" s="88">
        <f>212810495-29951-108497927-1038153-26339506-57448234-17774391-6929</f>
        <v>1675404</v>
      </c>
      <c r="E44" s="31"/>
      <c r="F44" s="75">
        <f>200531196-29419-96271993-1133394-26329502-57448234-17774391-6929</f>
        <v>1537334</v>
      </c>
      <c r="G44" s="40">
        <f>F44-D44</f>
        <v>-138070</v>
      </c>
      <c r="H44" s="39"/>
    </row>
    <row r="45" spans="1:8" s="14" customFormat="1" ht="17.25">
      <c r="A45" s="30" t="s">
        <v>28</v>
      </c>
      <c r="B45" s="92">
        <f>SUM(B39:B44)</f>
        <v>180885170</v>
      </c>
      <c r="C45" s="36"/>
      <c r="D45" s="92">
        <f>SUM(D39:D44)</f>
        <v>217047955</v>
      </c>
      <c r="E45" s="36"/>
      <c r="F45" s="79">
        <f>SUM(F39:F44)</f>
        <v>213191922</v>
      </c>
      <c r="G45" s="41">
        <f>SUM(G39:G44)</f>
        <v>-3856033</v>
      </c>
      <c r="H45"/>
    </row>
    <row r="46" spans="1:8" s="14" customFormat="1" ht="17.25">
      <c r="A46" s="42"/>
      <c r="B46" s="88"/>
      <c r="C46" s="31"/>
      <c r="D46" s="88"/>
      <c r="E46" s="31"/>
      <c r="F46" s="75"/>
      <c r="G46" s="29"/>
      <c r="H46"/>
    </row>
    <row r="47" spans="1:8" s="14" customFormat="1" ht="17.25">
      <c r="A47" s="30" t="s">
        <v>29</v>
      </c>
      <c r="B47" s="88"/>
      <c r="C47" s="31"/>
      <c r="D47" s="88"/>
      <c r="E47" s="31"/>
      <c r="F47" s="75"/>
      <c r="G47" s="29"/>
      <c r="H47"/>
    </row>
    <row r="48" spans="1:8" s="14" customFormat="1" ht="17.25">
      <c r="A48" s="21" t="s">
        <v>43</v>
      </c>
      <c r="B48" s="88">
        <v>35155288</v>
      </c>
      <c r="C48" s="31"/>
      <c r="D48" s="88">
        <f>36280382</f>
        <v>36280382</v>
      </c>
      <c r="E48" s="31"/>
      <c r="F48" s="75">
        <f>36280382</f>
        <v>36280382</v>
      </c>
      <c r="G48" s="29">
        <f>F48-D48</f>
        <v>0</v>
      </c>
      <c r="H48" s="32"/>
    </row>
    <row r="49" spans="1:8" s="14" customFormat="1" ht="17.25">
      <c r="A49" s="21" t="s">
        <v>30</v>
      </c>
      <c r="B49" s="88">
        <f>27568+9355</f>
        <v>36923</v>
      </c>
      <c r="C49" s="31"/>
      <c r="D49" s="88">
        <f>68+7238</f>
        <v>7306</v>
      </c>
      <c r="E49" s="31"/>
      <c r="F49" s="75">
        <f>143+22572</f>
        <v>22715</v>
      </c>
      <c r="G49" s="29">
        <f>F49-D49</f>
        <v>15409</v>
      </c>
      <c r="H49"/>
    </row>
    <row r="50" spans="1:8" s="14" customFormat="1" ht="17.25">
      <c r="A50" s="21" t="s">
        <v>31</v>
      </c>
      <c r="B50" s="88">
        <f>8917000+124365355</f>
        <v>133282355</v>
      </c>
      <c r="C50" s="31"/>
      <c r="D50" s="88">
        <f>108497927</f>
        <v>108497927</v>
      </c>
      <c r="E50" s="31"/>
      <c r="F50" s="75">
        <f>13540000+96271993</f>
        <v>109811993</v>
      </c>
      <c r="G50" s="43">
        <f>F50-D50</f>
        <v>1314066</v>
      </c>
      <c r="H50"/>
    </row>
    <row r="51" spans="1:8" s="14" customFormat="1" ht="17.25" hidden="1">
      <c r="A51" s="21" t="s">
        <v>32</v>
      </c>
      <c r="B51" s="88">
        <f>-9905701+9905701</f>
        <v>0</v>
      </c>
      <c r="C51" s="31"/>
      <c r="D51" s="90">
        <f>-3275358+3275358</f>
        <v>0</v>
      </c>
      <c r="E51" s="31"/>
      <c r="F51" s="77">
        <f>-3871424+3871424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88">
        <f>2305696+1588127</f>
        <v>3893823</v>
      </c>
      <c r="C52" s="31"/>
      <c r="D52" s="88">
        <f>499376+1994207</f>
        <v>2493583</v>
      </c>
      <c r="E52" s="36"/>
      <c r="F52" s="75">
        <f>461321+1984839</f>
        <v>2446160</v>
      </c>
      <c r="G52" s="29">
        <f>F52-D52</f>
        <v>-47423</v>
      </c>
      <c r="H52"/>
    </row>
    <row r="53" spans="1:8" s="14" customFormat="1" ht="17.25">
      <c r="A53" s="30" t="s">
        <v>34</v>
      </c>
      <c r="B53" s="92">
        <f>SUM(B48:B52)</f>
        <v>172368389</v>
      </c>
      <c r="C53" s="36"/>
      <c r="D53" s="92">
        <f>SUM(D48:D52)</f>
        <v>147279198</v>
      </c>
      <c r="E53" s="31"/>
      <c r="F53" s="79">
        <f>SUM(F48:F52)</f>
        <v>148561250</v>
      </c>
      <c r="G53" s="37">
        <f>SUM(G48:G52)</f>
        <v>1282052</v>
      </c>
      <c r="H53"/>
    </row>
    <row r="54" spans="1:8" s="14" customFormat="1" ht="17.25">
      <c r="A54" s="21"/>
      <c r="B54" s="88"/>
      <c r="C54" s="31"/>
      <c r="D54" s="88"/>
      <c r="E54" s="31"/>
      <c r="F54" s="75"/>
      <c r="G54" s="29"/>
      <c r="H54"/>
    </row>
    <row r="55" spans="1:8" s="14" customFormat="1" ht="17.25">
      <c r="A55" s="30" t="s">
        <v>35</v>
      </c>
      <c r="B55" s="88"/>
      <c r="C55" s="31"/>
      <c r="D55" s="88"/>
      <c r="E55" s="31"/>
      <c r="F55" s="75"/>
      <c r="G55" s="29"/>
      <c r="H55"/>
    </row>
    <row r="56" spans="1:8" s="14" customFormat="1" ht="17.25">
      <c r="A56" s="21" t="s">
        <v>36</v>
      </c>
      <c r="B56" s="88"/>
      <c r="C56" s="31"/>
      <c r="D56" s="88"/>
      <c r="E56" s="31"/>
      <c r="F56" s="75"/>
      <c r="G56" s="29"/>
      <c r="H56"/>
    </row>
    <row r="57" spans="1:8" s="14" customFormat="1" ht="17.25">
      <c r="A57" s="21" t="s">
        <v>37</v>
      </c>
      <c r="B57" s="88">
        <f>4000</f>
        <v>4000</v>
      </c>
      <c r="C57" s="31"/>
      <c r="D57" s="88">
        <f>4000</f>
        <v>4000</v>
      </c>
      <c r="E57" s="31"/>
      <c r="F57" s="75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88">
        <v>20000</v>
      </c>
      <c r="C58" s="31"/>
      <c r="D58" s="88">
        <v>20000</v>
      </c>
      <c r="E58" s="31"/>
      <c r="F58" s="75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91">
        <v>9439004</v>
      </c>
      <c r="C59" s="31"/>
      <c r="D59" s="91">
        <v>13025814</v>
      </c>
      <c r="E59" s="31"/>
      <c r="F59" s="78">
        <v>13025814</v>
      </c>
      <c r="G59" s="40">
        <f>F59-D59</f>
        <v>0</v>
      </c>
      <c r="H59"/>
    </row>
    <row r="60" spans="1:8" s="14" customFormat="1" ht="17.25">
      <c r="A60" s="30" t="s">
        <v>40</v>
      </c>
      <c r="B60" s="95">
        <f>SUM(B57:B59)</f>
        <v>9463004</v>
      </c>
      <c r="C60" s="36"/>
      <c r="D60" s="95">
        <f>SUM(D57:D59)</f>
        <v>13049814</v>
      </c>
      <c r="E60" s="36"/>
      <c r="F60" s="82">
        <f>SUM(F57:F59)</f>
        <v>13049814</v>
      </c>
      <c r="G60" s="41">
        <f>SUM(G57:G59)</f>
        <v>0</v>
      </c>
      <c r="H60"/>
    </row>
    <row r="61" spans="1:8" s="14" customFormat="1" ht="18" thickBot="1">
      <c r="A61" s="45" t="s">
        <v>41</v>
      </c>
      <c r="B61" s="96">
        <f>B45+B53+B60</f>
        <v>362716563</v>
      </c>
      <c r="C61" s="46"/>
      <c r="D61" s="96">
        <f>D45+D53+D60</f>
        <v>377376967</v>
      </c>
      <c r="E61" s="47"/>
      <c r="F61" s="83">
        <f>F45+F53+F60</f>
        <v>374802986</v>
      </c>
      <c r="G61" s="48">
        <f>F61-D61</f>
        <v>-2573981</v>
      </c>
      <c r="H61"/>
    </row>
    <row r="62" spans="1:8" s="14" customFormat="1" ht="18" thickTop="1">
      <c r="A62" s="21"/>
      <c r="B62" s="61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65" t="s">
        <v>48</v>
      </c>
      <c r="B64" s="28"/>
      <c r="C64" s="66"/>
      <c r="D64" s="67"/>
      <c r="E64" s="67"/>
      <c r="F64" s="68"/>
      <c r="G64" s="69"/>
      <c r="H64" s="70"/>
    </row>
    <row r="65" spans="1:10" s="14" customFormat="1" ht="17.25">
      <c r="A65" s="64" t="s">
        <v>53</v>
      </c>
      <c r="B65" s="52"/>
      <c r="C65" s="53"/>
      <c r="D65" s="54"/>
      <c r="E65" s="52"/>
      <c r="F65" s="54"/>
      <c r="G65" s="62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10" s="14" customFormat="1" ht="17.25">
      <c r="A67" s="18" t="s">
        <v>46</v>
      </c>
      <c r="B67" s="57"/>
      <c r="C67" s="57"/>
      <c r="D67" s="57"/>
      <c r="E67" s="57"/>
      <c r="F67" s="58"/>
      <c r="G67" s="10"/>
      <c r="H67"/>
    </row>
    <row r="69" spans="1:10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  <row r="70" spans="1:10" hidden="1">
      <c r="B70">
        <f>B35-B61</f>
        <v>0</v>
      </c>
      <c r="D70">
        <f>D35-D61</f>
        <v>0</v>
      </c>
      <c r="F70">
        <f>F35-F61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- 23 Nov. 2011</vt:lpstr>
      <vt:lpstr>'balance sheet - 23 Nov. 2011'!Print_Area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HARRIOTTSMITH</dc:creator>
  <cp:lastModifiedBy>Rowena Atkinson</cp:lastModifiedBy>
  <cp:lastPrinted>2011-12-02T15:52:49Z</cp:lastPrinted>
  <dcterms:created xsi:type="dcterms:W3CDTF">2009-02-04T22:27:27Z</dcterms:created>
  <dcterms:modified xsi:type="dcterms:W3CDTF">2011-12-07T16:03:24Z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