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15480" windowHeight="11220"/>
  </bookViews>
  <sheets>
    <sheet name="Balance Sheet - 23 May 2012" sheetId="1" r:id="rId1"/>
  </sheets>
  <definedNames>
    <definedName name="_xlnm.Print_Area" localSheetId="0">'Balance Sheet - 23 May 2012'!$A$9:$F$65</definedName>
    <definedName name="_xlnm.Print_Area">'Balance Sheet - 23 May 2012'!$A$8:$F$61</definedName>
  </definedNames>
  <calcPr calcId="145621"/>
</workbook>
</file>

<file path=xl/calcChain.xml><?xml version="1.0" encoding="utf-8"?>
<calcChain xmlns="http://schemas.openxmlformats.org/spreadsheetml/2006/main">
  <c r="F49" i="1" l="1"/>
  <c r="F40" i="1"/>
  <c r="F31" i="1"/>
  <c r="B55" i="1" l="1"/>
  <c r="B58" i="1" s="1"/>
  <c r="B50" i="1"/>
  <c r="B49" i="1"/>
  <c r="B48" i="1"/>
  <c r="B47" i="1"/>
  <c r="B42" i="1"/>
  <c r="B41" i="1"/>
  <c r="B40" i="1"/>
  <c r="B39" i="1"/>
  <c r="B37" i="1"/>
  <c r="B31" i="1"/>
  <c r="B28" i="1"/>
  <c r="B26" i="1"/>
  <c r="B25" i="1"/>
  <c r="B19" i="1"/>
  <c r="B18" i="1"/>
  <c r="F19" i="1"/>
  <c r="B32" i="1" l="1"/>
  <c r="B51" i="1"/>
  <c r="B21" i="1"/>
  <c r="B33" i="1" s="1"/>
  <c r="B43" i="1"/>
  <c r="B59" i="1" s="1"/>
  <c r="F50" i="1"/>
  <c r="F48" i="1"/>
  <c r="F47" i="1"/>
  <c r="F42" i="1"/>
  <c r="F39" i="1"/>
  <c r="F41" i="1"/>
  <c r="F37" i="1"/>
  <c r="F18" i="1"/>
  <c r="D55" i="1"/>
  <c r="D58" i="1" s="1"/>
  <c r="D50" i="1"/>
  <c r="D48" i="1"/>
  <c r="D47" i="1"/>
  <c r="D46" i="1"/>
  <c r="D42" i="1"/>
  <c r="D41" i="1"/>
  <c r="D40" i="1"/>
  <c r="D39" i="1"/>
  <c r="D37" i="1"/>
  <c r="D31" i="1"/>
  <c r="D26" i="1"/>
  <c r="D25" i="1"/>
  <c r="D19" i="1"/>
  <c r="D18" i="1"/>
  <c r="D21" i="1" s="1"/>
  <c r="D43" i="1" l="1"/>
  <c r="D32" i="1"/>
  <c r="D33" i="1" s="1"/>
  <c r="D51" i="1"/>
  <c r="D59" i="1" s="1"/>
  <c r="F51" i="1"/>
  <c r="F26" i="1"/>
  <c r="F32" i="1" s="1"/>
  <c r="F55" i="1"/>
  <c r="F58" i="1" s="1"/>
  <c r="E67" i="1"/>
  <c r="F21" i="1"/>
  <c r="F43" i="1"/>
  <c r="D68" i="1" l="1"/>
  <c r="D67" i="1"/>
  <c r="F33" i="1"/>
  <c r="F59" i="1"/>
  <c r="B67" i="1"/>
  <c r="B68" i="1"/>
  <c r="F68" i="1" l="1"/>
  <c r="F67" i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<sst xmlns="http://schemas.openxmlformats.org/spreadsheetml/2006/main" count="59" uniqueCount="55">
  <si>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</si>
  <si>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</si>
  <si>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</si>
  <si>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</si>
  <si>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</si>
  <si>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</si>
  <si>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</si>
  <si>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</si>
  <si>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</si>
  <si>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</si>
  <si>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</si>
  <si>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</si>
  <si>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</si>
  <si>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</si>
  <si>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</si>
  <si>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</si>
  <si>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</si>
  <si>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</si>
  <si>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</si>
  <si>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</si>
  <si>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</si>
  <si>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</si>
  <si>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</si>
  <si>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</si>
  <si>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</si>
  <si>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</si>
  <si>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</si>
  <si>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</si>
  <si>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</si>
  <si>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</si>
  <si>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</si>
  <si>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</si>
  <si>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</si>
  <si>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</si>
  <si>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</si>
  <si>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</si>
  <si>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</si>
  <si>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</si>
  <si>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</si>
  <si>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</si>
  <si>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</si>
  <si>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</si>
  <si>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</si>
  <si>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</si>
  <si>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</si>
  <si>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</si>
  <si>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</si>
  <si>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</si>
  <si>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09 MAY</t>
  </si>
  <si>
    <t>As At 23 MAY 2012</t>
  </si>
  <si>
    <t>23 MAY</t>
  </si>
  <si>
    <t>25 MAY</t>
  </si>
  <si>
    <r>
      <t xml:space="preserve">* </t>
    </r>
    <r>
      <rPr>
        <sz val="12"/>
        <rFont val="Arial Unicode MS"/>
        <family val="2"/>
      </rPr>
      <t>The year to date profit of $244.02mn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</si>
  <si>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</si>
  <si>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06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</si>
</sst>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showOutlineSymbols="0" zoomScale="75" zoomScaleNormal="75" zoomScaleSheetLayoutView="75" workbookViewId="0">
      <selection activeCell="J40" sqref="J4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2011</v>
      </c>
      <c r="C13" s="19"/>
      <c r="D13" s="50">
        <v>2012</v>
      </c>
      <c r="E13" s="20"/>
      <c r="F13" s="50">
        <v>2012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49296600-21438</f>
        <v>49275162</v>
      </c>
      <c r="C18" s="25"/>
      <c r="D18" s="54">
        <f>45969018-28825</f>
        <v>45940193</v>
      </c>
      <c r="E18" s="25"/>
      <c r="F18" s="54">
        <f>44801656-29747</f>
        <v>44771909</v>
      </c>
    </row>
    <row r="19" spans="1:6" s="11" customFormat="1">
      <c r="A19" s="18" t="s">
        <v>7</v>
      </c>
      <c r="B19" s="54">
        <f>72199+22111372+209157130+13292348+995-49296600+21438+43074</f>
        <v>195401956</v>
      </c>
      <c r="C19" s="25"/>
      <c r="D19" s="54">
        <f>55451+35767103+152507781+13655103+316-45969018+28825</f>
        <v>156045561</v>
      </c>
      <c r="E19" s="25"/>
      <c r="F19" s="54">
        <f>54191+34944620+151687795+13689810+56434-44801656+29747</f>
        <v>155660941</v>
      </c>
    </row>
    <row r="20" spans="1:6" s="11" customFormat="1">
      <c r="A20" s="18" t="s">
        <v>40</v>
      </c>
      <c r="B20" s="54">
        <v>29096030</v>
      </c>
      <c r="C20" s="25"/>
      <c r="D20" s="54">
        <v>28074147</v>
      </c>
      <c r="E20" s="25"/>
      <c r="F20" s="54">
        <v>27363841</v>
      </c>
    </row>
    <row r="21" spans="1:6" s="11" customFormat="1">
      <c r="A21" s="24" t="s">
        <v>8</v>
      </c>
      <c r="B21" s="55">
        <f>+B18+B19+B20</f>
        <v>273773148</v>
      </c>
      <c r="C21" s="26"/>
      <c r="D21" s="55">
        <f>+D18+D19+D20</f>
        <v>230059901</v>
      </c>
      <c r="E21" s="26"/>
      <c r="F21" s="55">
        <f>+F18+F19+F20</f>
        <v>227796691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270+91046322</f>
        <v>91046592</v>
      </c>
      <c r="C25" s="25"/>
      <c r="D25" s="54">
        <f>37+92512220</f>
        <v>92512257</v>
      </c>
      <c r="E25" s="25"/>
      <c r="F25" s="54">
        <v>92362589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11951809+1874992-1000</f>
        <v>13825801</v>
      </c>
      <c r="C28" s="44"/>
      <c r="D28" s="56">
        <v>13369262</v>
      </c>
      <c r="E28" s="25"/>
      <c r="F28" s="56">
        <v>13369262</v>
      </c>
    </row>
    <row r="29" spans="1:6" s="11" customFormat="1" ht="17.25" hidden="1" customHeight="1">
      <c r="A29" s="18" t="s">
        <v>14</v>
      </c>
      <c r="B29" s="54">
        <v>0</v>
      </c>
      <c r="C29" s="27"/>
      <c r="D29" s="54">
        <v>0</v>
      </c>
      <c r="E29" s="28"/>
      <c r="F29" s="54">
        <v>0</v>
      </c>
    </row>
    <row r="30" spans="1:6" s="11" customFormat="1">
      <c r="A30" s="18" t="s">
        <v>15</v>
      </c>
      <c r="B30" s="54">
        <v>12</v>
      </c>
      <c r="C30" s="25"/>
      <c r="D30" s="54">
        <v>151</v>
      </c>
      <c r="E30" s="25"/>
      <c r="F30" s="54">
        <v>0</v>
      </c>
    </row>
    <row r="31" spans="1:6" s="11" customFormat="1">
      <c r="A31" s="18" t="s">
        <v>16</v>
      </c>
      <c r="B31" s="57">
        <f>86650+4182062+3628318-2505+2986730+10288730+1000</f>
        <v>21170985</v>
      </c>
      <c r="C31" s="25"/>
      <c r="D31" s="57">
        <f>104064+4315897+3452736+1058+3955000+10867049+2472530+55042</f>
        <v>25223376</v>
      </c>
      <c r="E31" s="25"/>
      <c r="F31" s="57">
        <f>124122+4315897+3455814+1057+4196895+11279883+55288-29523+2472530-2472530</f>
        <v>23399433</v>
      </c>
    </row>
    <row r="32" spans="1:6" s="11" customFormat="1">
      <c r="A32" s="24" t="s">
        <v>17</v>
      </c>
      <c r="B32" s="58">
        <f>SUM(B25:B31)</f>
        <v>126043390</v>
      </c>
      <c r="C32" s="29"/>
      <c r="D32" s="58">
        <f>SUM(D25:D31)</f>
        <v>131105046</v>
      </c>
      <c r="E32" s="29"/>
      <c r="F32" s="58">
        <f>SUM(F25:F31)</f>
        <v>129131284</v>
      </c>
    </row>
    <row r="33" spans="1:6" s="11" customFormat="1" ht="18" thickBot="1">
      <c r="A33" s="22" t="s">
        <v>18</v>
      </c>
      <c r="B33" s="59">
        <f>+B32+B21</f>
        <v>399816538</v>
      </c>
      <c r="C33" s="29"/>
      <c r="D33" s="59">
        <f>+D32+D21</f>
        <v>361164947</v>
      </c>
      <c r="E33" s="29"/>
      <c r="F33" s="59">
        <f>+F32+F21</f>
        <v>356927975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48244509+2244983</f>
        <v>50489492</v>
      </c>
      <c r="C37" s="25"/>
      <c r="D37" s="54">
        <f>51480002+2427037</f>
        <v>53907039</v>
      </c>
      <c r="E37" s="25"/>
      <c r="F37" s="54">
        <f>50684992+2436302</f>
        <v>53121294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17747098+30680+410559+231+13810735</f>
        <v>31999303</v>
      </c>
      <c r="C39" s="25"/>
      <c r="D39" s="54">
        <f>29924647+28754+145871+8937547</f>
        <v>39036819</v>
      </c>
      <c r="E39" s="25"/>
      <c r="F39" s="54">
        <f>21207231+28495+231825+9069087</f>
        <v>30536638</v>
      </c>
    </row>
    <row r="40" spans="1:6" s="11" customFormat="1">
      <c r="A40" s="18" t="s">
        <v>24</v>
      </c>
      <c r="B40" s="54">
        <f>55666779+17223211+6714</f>
        <v>72896704</v>
      </c>
      <c r="C40" s="25"/>
      <c r="D40" s="54">
        <f>57448234+17774391+6929</f>
        <v>75229554</v>
      </c>
      <c r="E40" s="25"/>
      <c r="F40" s="54">
        <f>57448234+17774391+6929-1904178</f>
        <v>73325376</v>
      </c>
    </row>
    <row r="41" spans="1:6" s="11" customFormat="1">
      <c r="A41" s="18" t="s">
        <v>25</v>
      </c>
      <c r="B41" s="54">
        <f>52527020-7346000</f>
        <v>45181020</v>
      </c>
      <c r="C41" s="25"/>
      <c r="D41" s="54">
        <f>49183537-1654000</f>
        <v>47529537</v>
      </c>
      <c r="E41" s="25"/>
      <c r="F41" s="54">
        <f>56911910-9725000</f>
        <v>47186910</v>
      </c>
    </row>
    <row r="42" spans="1:6" s="11" customFormat="1">
      <c r="A42" s="18" t="s">
        <v>26</v>
      </c>
      <c r="B42" s="54">
        <f>227605011-30680-138199480-410559-231-13810735-55666779-17223211-6714</f>
        <v>2256622</v>
      </c>
      <c r="C42" s="25"/>
      <c r="D42" s="54">
        <f>176527735-28754-90626700-145871-8937547-57448234-17774391-6929</f>
        <v>1559309</v>
      </c>
      <c r="E42" s="25"/>
      <c r="F42" s="54">
        <f>176762632-28495-89728423-231825-9069087-57448234-17774391-6929</f>
        <v>2475248</v>
      </c>
    </row>
    <row r="43" spans="1:6" s="11" customFormat="1">
      <c r="A43" s="24" t="s">
        <v>27</v>
      </c>
      <c r="B43" s="58">
        <f>SUM(B37:B42)</f>
        <v>202823141</v>
      </c>
      <c r="C43" s="29"/>
      <c r="D43" s="58">
        <f>SUM(D37:D42)</f>
        <v>217262258</v>
      </c>
      <c r="E43" s="29"/>
      <c r="F43" s="58">
        <f>SUM(F37:F42)</f>
        <v>206645466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v>36280382</v>
      </c>
      <c r="C46" s="25"/>
      <c r="D46" s="54">
        <f>36280382</f>
        <v>36280382</v>
      </c>
      <c r="E46" s="25"/>
      <c r="F46" s="54">
        <v>35362449</v>
      </c>
    </row>
    <row r="47" spans="1:6" s="11" customFormat="1">
      <c r="A47" s="18" t="s">
        <v>29</v>
      </c>
      <c r="B47" s="54">
        <f>-32533+176+42805+269</f>
        <v>10717</v>
      </c>
      <c r="C47" s="25"/>
      <c r="D47" s="54">
        <f>20725-51771+55042</f>
        <v>23996</v>
      </c>
      <c r="E47" s="25"/>
      <c r="F47" s="54">
        <f>20751-52002+55288</f>
        <v>24037</v>
      </c>
    </row>
    <row r="48" spans="1:6" s="11" customFormat="1">
      <c r="A48" s="18" t="s">
        <v>30</v>
      </c>
      <c r="B48" s="54">
        <f>7346000+138199480</f>
        <v>145545480</v>
      </c>
      <c r="C48" s="25"/>
      <c r="D48" s="54">
        <f>1654000+90626700</f>
        <v>92280700</v>
      </c>
      <c r="E48" s="25"/>
      <c r="F48" s="54">
        <f>9725000+89728423</f>
        <v>99453423</v>
      </c>
    </row>
    <row r="49" spans="1:8" s="11" customFormat="1">
      <c r="A49" s="18" t="s">
        <v>47</v>
      </c>
      <c r="B49" s="54">
        <f>-1874992+1874992</f>
        <v>0</v>
      </c>
      <c r="C49" s="25"/>
      <c r="D49" s="56">
        <v>163884</v>
      </c>
      <c r="E49" s="25"/>
      <c r="F49" s="56">
        <f>812369-568352</f>
        <v>244017</v>
      </c>
    </row>
    <row r="50" spans="1:8" s="11" customFormat="1">
      <c r="A50" s="18" t="s">
        <v>31</v>
      </c>
      <c r="B50" s="54">
        <f>2907443+1755315-585047</f>
        <v>4077711</v>
      </c>
      <c r="C50" s="25"/>
      <c r="D50" s="54">
        <f>322907+2100216-1</f>
        <v>2423122</v>
      </c>
      <c r="E50" s="29"/>
      <c r="F50" s="54">
        <f>452036+2099055</f>
        <v>2551091</v>
      </c>
    </row>
    <row r="51" spans="1:8" s="11" customFormat="1">
      <c r="A51" s="24" t="s">
        <v>32</v>
      </c>
      <c r="B51" s="58">
        <f>SUM(B46:B50)</f>
        <v>185914290</v>
      </c>
      <c r="C51" s="29"/>
      <c r="D51" s="58">
        <f>SUM(D46:D50)</f>
        <v>131172084</v>
      </c>
      <c r="E51" s="25"/>
      <c r="F51" s="58">
        <f>SUM(F46:F50)</f>
        <v>137635017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v>11055107</v>
      </c>
      <c r="C57" s="25"/>
      <c r="D57" s="57">
        <v>12706605</v>
      </c>
      <c r="E57" s="25"/>
      <c r="F57" s="57">
        <v>12623492</v>
      </c>
    </row>
    <row r="58" spans="1:8" s="11" customFormat="1">
      <c r="A58" s="24" t="s">
        <v>38</v>
      </c>
      <c r="B58" s="61">
        <f>SUM(B55:B57)</f>
        <v>11079107</v>
      </c>
      <c r="C58" s="29"/>
      <c r="D58" s="61">
        <f>SUM(D55:D57)</f>
        <v>12730605</v>
      </c>
      <c r="E58" s="29"/>
      <c r="F58" s="61">
        <f>SUM(F55:F57)</f>
        <v>12647492</v>
      </c>
    </row>
    <row r="59" spans="1:8" s="11" customFormat="1" ht="18" thickBot="1">
      <c r="A59" s="31" t="s">
        <v>39</v>
      </c>
      <c r="B59" s="62">
        <f>B43+B51+B58</f>
        <v>399816538</v>
      </c>
      <c r="C59" s="32"/>
      <c r="D59" s="62">
        <f>D43+D51+D58</f>
        <v>361164947</v>
      </c>
      <c r="E59" s="33"/>
      <c r="F59" s="62">
        <f>F43+F51+F58</f>
        <v>356927975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  <row r="68" spans="1:6">
      <c r="B68">
        <f>B33-B59</f>
        <v>0</v>
      </c>
      <c r="D68">
        <f>D33-D59</f>
        <v>0</v>
      </c>
      <c r="F68">
        <f>F33-F59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- 23 May 2012</vt:lpstr>
      <vt:lpstr>'Balance Sheet - 23 May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2012-05-31T19:55:08Z</cp:lastPrinted>
  <dcterms:created xsi:type="dcterms:W3CDTF">2009-02-04T22:27:27Z</dcterms:created>
  <dcterms:modified xsi:type="dcterms:W3CDTF">2012-06-06T17:59:31Z</dcterms:modified>
</cp:coreProperties>
</file>