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35" windowWidth="15480" windowHeight="11580"/>
  </bookViews>
  <sheets>
    <sheet name="balance sheet - 12 October 2011" sheetId="1" r:id="rId1"/>
  </sheets>
  <definedNames>
    <definedName name="_xlnm.Print_Area" localSheetId="0">'balance sheet - 12 October 2011'!$A$11:$F$67</definedName>
    <definedName name="_xlnm.Print_Area">'balance sheet - 12 October 2011'!$A$10:$F$63</definedName>
  </definedNames>
  <calcPr calcId="114210"/>
</workbook>
</file>

<file path=xl/calcChain.xml><?xml version="1.0" encoding="utf-8"?>
<calcChain xmlns="http://schemas.openxmlformats.org/spreadsheetml/2006/main">
  <c r="F51" i="1"/>
  <c r="F30"/>
  <c r="F33"/>
  <c r="B57"/>
  <c r="B60"/>
  <c r="B52"/>
  <c r="B51"/>
  <c r="B50"/>
  <c r="B49"/>
  <c r="B44"/>
  <c r="B43"/>
  <c r="B42"/>
  <c r="B41"/>
  <c r="B39"/>
  <c r="B45"/>
  <c r="B33"/>
  <c r="B31"/>
  <c r="B30"/>
  <c r="B28"/>
  <c r="B27"/>
  <c r="B34"/>
  <c r="B21"/>
  <c r="B20"/>
  <c r="B23"/>
  <c r="F52"/>
  <c r="F50"/>
  <c r="F49"/>
  <c r="F48"/>
  <c r="F44"/>
  <c r="F43"/>
  <c r="F42"/>
  <c r="F41"/>
  <c r="F39"/>
  <c r="F27"/>
  <c r="F21"/>
  <c r="F20"/>
  <c r="D57"/>
  <c r="D60"/>
  <c r="D52"/>
  <c r="D51"/>
  <c r="D50"/>
  <c r="D49"/>
  <c r="D53"/>
  <c r="D44"/>
  <c r="D43"/>
  <c r="D42"/>
  <c r="D41"/>
  <c r="D39"/>
  <c r="D33"/>
  <c r="D30"/>
  <c r="D28"/>
  <c r="D27"/>
  <c r="D34"/>
  <c r="D21"/>
  <c r="D20"/>
  <c r="D45"/>
  <c r="D23"/>
  <c r="B53"/>
  <c r="B61"/>
  <c r="B35"/>
  <c r="D61"/>
  <c r="D35"/>
  <c r="F53"/>
  <c r="F28"/>
  <c r="F34"/>
  <c r="F57"/>
  <c r="F60"/>
  <c r="E69"/>
  <c r="F23"/>
  <c r="F45"/>
  <c r="D69"/>
  <c r="F35"/>
  <c r="F61"/>
  <c r="B69"/>
  <c r="F69"/>
</calcChain>
</file>

<file path=xl/sharedStrings.xml><?xml version="1.0" encoding="utf-8"?>
<sst xmlns="http://schemas.openxmlformats.org/spreadsheetml/2006/main" count="59" uniqueCount="55">
  <si>
    <t>BANK OF JAMAICA</t>
  </si>
  <si>
    <t>BALANCE SHEET</t>
  </si>
  <si>
    <t xml:space="preserve"> </t>
  </si>
  <si>
    <t>$'000</t>
  </si>
  <si>
    <t>ASSETS</t>
  </si>
  <si>
    <t xml:space="preserve">  FOREIGN ASSETS</t>
  </si>
  <si>
    <t xml:space="preserve">   Bonds &amp; Other Long Term Securities</t>
  </si>
  <si>
    <t xml:space="preserve">   Time Deposits &amp; Other Cash Resources</t>
  </si>
  <si>
    <t xml:space="preserve">  TOTAL FOREIGN ASSETS</t>
  </si>
  <si>
    <t xml:space="preserve">  LOCAL ASSETS</t>
  </si>
  <si>
    <t xml:space="preserve">    Government Obligations</t>
  </si>
  <si>
    <t xml:space="preserve">  </t>
  </si>
  <si>
    <t xml:space="preserve">      Holdings of GOJ Investment Debentures </t>
  </si>
  <si>
    <t xml:space="preserve">      Holdings of Other Marketable Securities</t>
  </si>
  <si>
    <t xml:space="preserve">    Advances to Financial Institutions </t>
  </si>
  <si>
    <t xml:space="preserve">    Items In The Process of Collection</t>
  </si>
  <si>
    <t xml:space="preserve">    Other Assets</t>
  </si>
  <si>
    <t xml:space="preserve">   TOTAL LOCAL ASSETS</t>
  </si>
  <si>
    <t>TOTAL ASSETS</t>
  </si>
  <si>
    <t>LIABILITIES, CAPITAL AND RESERVES</t>
  </si>
  <si>
    <t xml:space="preserve">  DEMAND LIABILITIES</t>
  </si>
  <si>
    <t xml:space="preserve">     Notes &amp; Coins in Circulation</t>
  </si>
  <si>
    <t xml:space="preserve">     Deposits</t>
  </si>
  <si>
    <t xml:space="preserve">       Public Sector</t>
  </si>
  <si>
    <t xml:space="preserve">       IMF(GOJ)</t>
  </si>
  <si>
    <t xml:space="preserve">       Commercial Banks and Other LFIs</t>
  </si>
  <si>
    <t xml:space="preserve">       Other</t>
  </si>
  <si>
    <t xml:space="preserve">     TOTAL DEMAND LIABILITIES</t>
  </si>
  <si>
    <t>OTHER LIABILITIES</t>
  </si>
  <si>
    <t xml:space="preserve">   Foreign Liabilities</t>
  </si>
  <si>
    <t xml:space="preserve">   Open Market Instruments</t>
  </si>
  <si>
    <t xml:space="preserve">   Amounts Due to Government of Jamaica</t>
  </si>
  <si>
    <t xml:space="preserve">   Other Liabilities</t>
  </si>
  <si>
    <t xml:space="preserve">   TOTAL OTHER LIABILITIES</t>
  </si>
  <si>
    <t>CAPITAL AND RESERVES</t>
  </si>
  <si>
    <t xml:space="preserve">   Capital authorised and paid up by</t>
  </si>
  <si>
    <t xml:space="preserve">   Government of Jamaica</t>
  </si>
  <si>
    <t xml:space="preserve">   General Reserve Fund</t>
  </si>
  <si>
    <t xml:space="preserve">   Contingency Reserves and Provisions</t>
  </si>
  <si>
    <t xml:space="preserve">   TOTAL CAPITAL &amp; RESERVES</t>
  </si>
  <si>
    <t>TOTAL LIABILITIES,CAPITAL &amp; RESERVES</t>
  </si>
  <si>
    <t xml:space="preserve">    IMF - Holding of Special Drawing Rights</t>
  </si>
  <si>
    <t xml:space="preserve">   IMF - Allocation of Special Drawing Rights</t>
  </si>
  <si>
    <t xml:space="preserve">      Holdings of GOJ Securities</t>
  </si>
  <si>
    <t xml:space="preserve">   congruent with Section 9 of the Bank of Jamaica Act, which provides that losses incurred by the Bank of Jamaica</t>
  </si>
  <si>
    <r>
      <t xml:space="preserve">   are to be </t>
    </r>
    <r>
      <rPr>
        <sz val="12"/>
        <rFont val="Arial Unicode MS"/>
        <family val="2"/>
      </rPr>
      <t>f</t>
    </r>
    <r>
      <rPr>
        <b/>
        <sz val="12"/>
        <rFont val="Arial Unicode MS"/>
        <family val="2"/>
      </rPr>
      <t xml:space="preserve">unded by the Government </t>
    </r>
    <r>
      <rPr>
        <sz val="12"/>
        <rFont val="Arial Unicode MS"/>
        <family val="2"/>
      </rPr>
      <t xml:space="preserve">and profits earned by the Bank are </t>
    </r>
    <r>
      <rPr>
        <sz val="12"/>
        <rFont val="Arial Unicode MS"/>
        <family val="2"/>
      </rPr>
      <t>due to the Government.</t>
    </r>
  </si>
  <si>
    <r>
      <t xml:space="preserve">      Advances and Other GOJ Receivables</t>
    </r>
    <r>
      <rPr>
        <b/>
        <sz val="12"/>
        <rFont val="Arial Unicode MS"/>
        <family val="2"/>
      </rPr>
      <t xml:space="preserve"> *</t>
    </r>
  </si>
  <si>
    <t xml:space="preserve">    Note</t>
  </si>
  <si>
    <t>28 SEPTEMBER</t>
  </si>
  <si>
    <t>As At 12 OCTOBER 2011</t>
  </si>
  <si>
    <t>12 OCTOBER</t>
  </si>
  <si>
    <t>13 OCTOBER</t>
  </si>
  <si>
    <r>
      <t xml:space="preserve">* </t>
    </r>
    <r>
      <rPr>
        <sz val="12"/>
        <rFont val="Arial Unicode MS"/>
        <family val="2"/>
      </rPr>
      <t>The year to date loss of $3.70bn is included in</t>
    </r>
    <r>
      <rPr>
        <b/>
        <sz val="12"/>
        <rFont val="Arial Unicode MS"/>
        <family val="2"/>
      </rPr>
      <t xml:space="preserve"> Advances and Other GOJ Receivables</t>
    </r>
    <r>
      <rPr>
        <sz val="12"/>
        <rFont val="Arial Unicode MS"/>
        <family val="2"/>
      </rPr>
      <t xml:space="preserve">. This reporting format is </t>
    </r>
  </si>
  <si>
    <t>News Release</t>
  </si>
  <si>
    <t>26 October 2011</t>
  </si>
</sst>
</file>

<file path=xl/styles.xml><?xml version="1.0" encoding="utf-8"?>
<styleSheet xmlns="http://schemas.openxmlformats.org/spreadsheetml/2006/main">
  <fonts count="16">
    <font>
      <sz val="12"/>
      <name val="Arial MT"/>
    </font>
    <font>
      <b/>
      <sz val="12"/>
      <color indexed="8"/>
      <name val="Arial MT"/>
    </font>
    <font>
      <b/>
      <sz val="14"/>
      <color indexed="12"/>
      <name val="Arial Unicode MS"/>
      <family val="2"/>
    </font>
    <font>
      <sz val="12"/>
      <color indexed="8"/>
      <name val="Arial Unicode MS"/>
      <family val="2"/>
    </font>
    <font>
      <sz val="12"/>
      <name val="Arial Unicode MS"/>
      <family val="2"/>
    </font>
    <font>
      <b/>
      <sz val="12"/>
      <color indexed="12"/>
      <name val="Arial Unicode MS"/>
      <family val="2"/>
    </font>
    <font>
      <b/>
      <i/>
      <sz val="12"/>
      <color indexed="14"/>
      <name val="Arial Unicode MS"/>
      <family val="2"/>
    </font>
    <font>
      <b/>
      <sz val="12"/>
      <name val="Arial Unicode MS"/>
      <family val="2"/>
    </font>
    <font>
      <b/>
      <sz val="12"/>
      <color indexed="8"/>
      <name val="Arial Unicode MS"/>
      <family val="2"/>
    </font>
    <font>
      <sz val="8"/>
      <color indexed="8"/>
      <name val="Arial Unicode MS"/>
      <family val="2"/>
    </font>
    <font>
      <sz val="12"/>
      <color indexed="10"/>
      <name val="Arial MT"/>
    </font>
    <font>
      <b/>
      <sz val="11"/>
      <color indexed="8"/>
      <name val="Arial Unicode MS"/>
      <family val="2"/>
    </font>
    <font>
      <sz val="11"/>
      <name val="Arial Unicode MS"/>
      <family val="2"/>
    </font>
    <font>
      <b/>
      <sz val="12"/>
      <color indexed="8"/>
      <name val="Arial Narrow"/>
      <family val="2"/>
    </font>
    <font>
      <sz val="12"/>
      <name val="Arial MT"/>
    </font>
    <font>
      <b/>
      <sz val="14"/>
      <color indexed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37" fontId="0" fillId="2" borderId="0"/>
  </cellStyleXfs>
  <cellXfs count="84">
    <xf numFmtId="37" fontId="0" fillId="2" borderId="0" xfId="0" applyNumberFormat="1" applyFill="1"/>
    <xf numFmtId="37" fontId="0" fillId="2" borderId="1" xfId="0" applyNumberFormat="1" applyFill="1" applyBorder="1"/>
    <xf numFmtId="37" fontId="0" fillId="2" borderId="2" xfId="0" applyNumberFormat="1" applyFill="1" applyBorder="1"/>
    <xf numFmtId="37" fontId="0" fillId="2" borderId="3" xfId="0" applyNumberFormat="1" applyFill="1" applyBorder="1"/>
    <xf numFmtId="37" fontId="0" fillId="2" borderId="0" xfId="0" applyNumberFormat="1" applyFill="1" applyBorder="1"/>
    <xf numFmtId="37" fontId="0" fillId="2" borderId="4" xfId="0" applyNumberFormat="1" applyFill="1" applyBorder="1"/>
    <xf numFmtId="37" fontId="1" fillId="2" borderId="5" xfId="0" applyNumberFormat="1" applyFont="1" applyFill="1" applyBorder="1" applyAlignment="1">
      <alignment horizontal="center"/>
    </xf>
    <xf numFmtId="37" fontId="0" fillId="2" borderId="5" xfId="0" applyNumberFormat="1" applyFill="1" applyBorder="1"/>
    <xf numFmtId="37" fontId="2" fillId="2" borderId="1" xfId="0" applyNumberFormat="1" applyFont="1" applyFill="1" applyBorder="1" applyAlignment="1">
      <alignment horizontal="centerContinuous"/>
    </xf>
    <xf numFmtId="37" fontId="3" fillId="2" borderId="6" xfId="0" applyNumberFormat="1" applyFont="1" applyFill="1" applyBorder="1" applyAlignment="1">
      <alignment horizontal="centerContinuous"/>
    </xf>
    <xf numFmtId="37" fontId="3" fillId="2" borderId="2" xfId="0" applyNumberFormat="1" applyFont="1" applyFill="1" applyBorder="1" applyAlignment="1">
      <alignment horizontal="centerContinuous"/>
    </xf>
    <xf numFmtId="37" fontId="4" fillId="2" borderId="0" xfId="0" applyNumberFormat="1" applyFont="1" applyFill="1"/>
    <xf numFmtId="37" fontId="2" fillId="2" borderId="3" xfId="0" applyNumberFormat="1" applyFont="1" applyFill="1" applyBorder="1" applyAlignment="1">
      <alignment horizontal="centerContinuous"/>
    </xf>
    <xf numFmtId="37" fontId="3" fillId="2" borderId="7" xfId="0" applyNumberFormat="1" applyFont="1" applyFill="1" applyBorder="1" applyAlignment="1">
      <alignment horizontal="centerContinuous"/>
    </xf>
    <xf numFmtId="37" fontId="3" fillId="2" borderId="0" xfId="0" applyNumberFormat="1" applyFont="1" applyFill="1" applyBorder="1" applyAlignment="1">
      <alignment horizontal="centerContinuous"/>
    </xf>
    <xf numFmtId="37" fontId="4" fillId="2" borderId="4" xfId="0" applyNumberFormat="1" applyFont="1" applyFill="1" applyBorder="1"/>
    <xf numFmtId="37" fontId="4" fillId="2" borderId="5" xfId="0" applyNumberFormat="1" applyFont="1" applyFill="1" applyBorder="1"/>
    <xf numFmtId="37" fontId="4" fillId="2" borderId="8" xfId="0" applyNumberFormat="1" applyFont="1" applyFill="1" applyBorder="1"/>
    <xf numFmtId="37" fontId="4" fillId="2" borderId="3" xfId="0" applyNumberFormat="1" applyFont="1" applyFill="1" applyBorder="1"/>
    <xf numFmtId="37" fontId="5" fillId="2" borderId="2" xfId="0" applyNumberFormat="1" applyFont="1" applyFill="1" applyBorder="1" applyAlignment="1">
      <alignment horizontal="center"/>
    </xf>
    <xf numFmtId="37" fontId="5" fillId="2" borderId="0" xfId="0" applyNumberFormat="1" applyFont="1" applyFill="1" applyBorder="1" applyAlignment="1">
      <alignment horizontal="center"/>
    </xf>
    <xf numFmtId="37" fontId="5" fillId="2" borderId="0" xfId="0" applyNumberFormat="1" applyFont="1" applyFill="1" applyBorder="1"/>
    <xf numFmtId="37" fontId="6" fillId="2" borderId="3" xfId="0" applyNumberFormat="1" applyFont="1" applyFill="1" applyBorder="1"/>
    <xf numFmtId="37" fontId="4" fillId="2" borderId="0" xfId="0" applyNumberFormat="1" applyFont="1" applyFill="1" applyBorder="1"/>
    <xf numFmtId="37" fontId="5" fillId="2" borderId="3" xfId="0" applyNumberFormat="1" applyFont="1" applyFill="1" applyBorder="1"/>
    <xf numFmtId="37" fontId="4" fillId="2" borderId="0" xfId="0" applyNumberFormat="1" applyFont="1" applyFill="1" applyBorder="1" applyProtection="1">
      <protection hidden="1"/>
    </xf>
    <xf numFmtId="37" fontId="0" fillId="0" borderId="0" xfId="0" applyNumberFormat="1" applyFill="1"/>
    <xf numFmtId="37" fontId="7" fillId="2" borderId="0" xfId="0" applyNumberFormat="1" applyFont="1" applyFill="1" applyBorder="1" applyProtection="1">
      <protection hidden="1"/>
    </xf>
    <xf numFmtId="37" fontId="3" fillId="2" borderId="0" xfId="0" applyNumberFormat="1" applyFont="1" applyFill="1" applyBorder="1" applyAlignment="1" applyProtection="1">
      <alignment horizontal="right"/>
      <protection hidden="1"/>
    </xf>
    <xf numFmtId="37" fontId="8" fillId="2" borderId="0" xfId="0" applyNumberFormat="1" applyFont="1" applyFill="1" applyBorder="1" applyAlignment="1" applyProtection="1">
      <alignment horizontal="right"/>
      <protection hidden="1"/>
    </xf>
    <xf numFmtId="37" fontId="8" fillId="2" borderId="0" xfId="0" applyNumberFormat="1" applyFont="1" applyFill="1" applyBorder="1" applyProtection="1">
      <protection hidden="1"/>
    </xf>
    <xf numFmtId="39" fontId="0" fillId="2" borderId="0" xfId="0" applyNumberFormat="1" applyFont="1" applyFill="1"/>
    <xf numFmtId="37" fontId="9" fillId="2" borderId="3" xfId="0" applyNumberFormat="1" applyFont="1" applyFill="1" applyBorder="1"/>
    <xf numFmtId="37" fontId="10" fillId="2" borderId="0" xfId="0" applyNumberFormat="1" applyFont="1" applyFill="1"/>
    <xf numFmtId="37" fontId="6" fillId="2" borderId="9" xfId="0" applyNumberFormat="1" applyFont="1" applyFill="1" applyBorder="1"/>
    <xf numFmtId="37" fontId="8" fillId="2" borderId="10" xfId="0" applyNumberFormat="1" applyFont="1" applyFill="1" applyBorder="1" applyProtection="1">
      <protection hidden="1"/>
    </xf>
    <xf numFmtId="37" fontId="8" fillId="2" borderId="11" xfId="0" applyNumberFormat="1" applyFont="1" applyFill="1" applyBorder="1" applyProtection="1">
      <protection hidden="1"/>
    </xf>
    <xf numFmtId="37" fontId="4" fillId="2" borderId="12" xfId="0" applyNumberFormat="1" applyFont="1" applyFill="1" applyBorder="1"/>
    <xf numFmtId="37" fontId="4" fillId="2" borderId="13" xfId="0" applyNumberFormat="1" applyFont="1" applyFill="1" applyBorder="1"/>
    <xf numFmtId="37" fontId="3" fillId="2" borderId="5" xfId="0" applyNumberFormat="1" applyFont="1" applyFill="1" applyBorder="1" applyAlignment="1">
      <alignment horizontal="centerContinuous"/>
    </xf>
    <xf numFmtId="37" fontId="12" fillId="2" borderId="0" xfId="0" applyNumberFormat="1" applyFont="1" applyFill="1" applyBorder="1"/>
    <xf numFmtId="37" fontId="11" fillId="2" borderId="0" xfId="0" applyNumberFormat="1" applyFont="1" applyFill="1" applyBorder="1"/>
    <xf numFmtId="37" fontId="12" fillId="2" borderId="7" xfId="0" applyNumberFormat="1" applyFont="1" applyFill="1" applyBorder="1"/>
    <xf numFmtId="37" fontId="4" fillId="2" borderId="7" xfId="0" applyNumberFormat="1" applyFont="1" applyFill="1" applyBorder="1"/>
    <xf numFmtId="37" fontId="0" fillId="2" borderId="0" xfId="0" applyNumberFormat="1" applyFont="1" applyFill="1" applyBorder="1"/>
    <xf numFmtId="37" fontId="12" fillId="2" borderId="5" xfId="0" applyNumberFormat="1" applyFont="1" applyFill="1" applyBorder="1"/>
    <xf numFmtId="37" fontId="12" fillId="2" borderId="8" xfId="0" applyNumberFormat="1" applyFont="1" applyFill="1" applyBorder="1"/>
    <xf numFmtId="37" fontId="0" fillId="3" borderId="0" xfId="0" applyNumberFormat="1" applyFill="1"/>
    <xf numFmtId="37" fontId="8" fillId="3" borderId="12" xfId="0" applyNumberFormat="1" applyFont="1" applyFill="1" applyBorder="1" applyProtection="1">
      <protection hidden="1"/>
    </xf>
    <xf numFmtId="49" fontId="7" fillId="2" borderId="0" xfId="0" applyNumberFormat="1" applyFont="1" applyFill="1" applyBorder="1" applyAlignment="1" applyProtection="1">
      <alignment horizontal="center"/>
      <protection hidden="1"/>
    </xf>
    <xf numFmtId="37" fontId="7" fillId="2" borderId="3" xfId="0" applyNumberFormat="1" applyFont="1" applyFill="1" applyBorder="1"/>
    <xf numFmtId="37" fontId="13" fillId="2" borderId="1" xfId="0" applyNumberFormat="1" applyFont="1" applyFill="1" applyBorder="1"/>
    <xf numFmtId="37" fontId="8" fillId="2" borderId="0" xfId="0" applyNumberFormat="1" applyFont="1" applyFill="1" applyBorder="1"/>
    <xf numFmtId="37" fontId="4" fillId="2" borderId="2" xfId="0" applyNumberFormat="1" applyFont="1" applyFill="1" applyBorder="1"/>
    <xf numFmtId="37" fontId="4" fillId="2" borderId="6" xfId="0" applyNumberFormat="1" applyFont="1" applyFill="1" applyBorder="1"/>
    <xf numFmtId="37" fontId="14" fillId="2" borderId="0" xfId="0" applyNumberFormat="1" applyFont="1" applyFill="1"/>
    <xf numFmtId="0" fontId="5" fillId="4" borderId="14" xfId="0" applyNumberFormat="1" applyFont="1" applyFill="1" applyBorder="1" applyAlignment="1">
      <alignment horizontal="center"/>
    </xf>
    <xf numFmtId="16" fontId="5" fillId="4" borderId="14" xfId="0" quotePrefix="1" applyNumberFormat="1" applyFont="1" applyFill="1" applyBorder="1" applyAlignment="1">
      <alignment horizontal="center"/>
    </xf>
    <xf numFmtId="37" fontId="5" fillId="4" borderId="14" xfId="0" applyNumberFormat="1" applyFont="1" applyFill="1" applyBorder="1" applyAlignment="1">
      <alignment horizontal="center"/>
    </xf>
    <xf numFmtId="37" fontId="4" fillId="4" borderId="14" xfId="0" applyNumberFormat="1" applyFont="1" applyFill="1" applyBorder="1"/>
    <xf numFmtId="37" fontId="4" fillId="4" borderId="14" xfId="0" applyNumberFormat="1" applyFont="1" applyFill="1" applyBorder="1" applyProtection="1">
      <protection hidden="1"/>
    </xf>
    <xf numFmtId="37" fontId="7" fillId="4" borderId="15" xfId="0" applyNumberFormat="1" applyFont="1" applyFill="1" applyBorder="1" applyProtection="1">
      <protection hidden="1"/>
    </xf>
    <xf numFmtId="38" fontId="4" fillId="4" borderId="14" xfId="0" applyNumberFormat="1" applyFont="1" applyFill="1" applyBorder="1" applyProtection="1">
      <protection hidden="1"/>
    </xf>
    <xf numFmtId="37" fontId="4" fillId="4" borderId="16" xfId="0" applyNumberFormat="1" applyFont="1" applyFill="1" applyBorder="1" applyProtection="1">
      <protection hidden="1"/>
    </xf>
    <xf numFmtId="37" fontId="8" fillId="4" borderId="17" xfId="0" applyNumberFormat="1" applyFont="1" applyFill="1" applyBorder="1" applyProtection="1">
      <protection hidden="1"/>
    </xf>
    <xf numFmtId="37" fontId="8" fillId="4" borderId="18" xfId="0" applyNumberFormat="1" applyFont="1" applyFill="1" applyBorder="1" applyProtection="1">
      <protection hidden="1"/>
    </xf>
    <xf numFmtId="39" fontId="4" fillId="4" borderId="14" xfId="0" applyNumberFormat="1" applyFont="1" applyFill="1" applyBorder="1" applyProtection="1">
      <protection hidden="1"/>
    </xf>
    <xf numFmtId="37" fontId="8" fillId="4" borderId="14" xfId="0" applyNumberFormat="1" applyFont="1" applyFill="1" applyBorder="1" applyProtection="1">
      <protection hidden="1"/>
    </xf>
    <xf numFmtId="37" fontId="8" fillId="4" borderId="19" xfId="0" applyNumberFormat="1" applyFont="1" applyFill="1" applyBorder="1" applyProtection="1">
      <protection hidden="1"/>
    </xf>
    <xf numFmtId="0" fontId="5" fillId="3" borderId="14" xfId="0" applyNumberFormat="1" applyFont="1" applyFill="1" applyBorder="1" applyAlignment="1">
      <alignment horizontal="center"/>
    </xf>
    <xf numFmtId="16" fontId="5" fillId="3" borderId="14" xfId="0" quotePrefix="1" applyNumberFormat="1" applyFont="1" applyFill="1" applyBorder="1" applyAlignment="1">
      <alignment horizontal="center"/>
    </xf>
    <xf numFmtId="37" fontId="5" fillId="3" borderId="14" xfId="0" applyNumberFormat="1" applyFont="1" applyFill="1" applyBorder="1" applyAlignment="1">
      <alignment horizontal="center"/>
    </xf>
    <xf numFmtId="37" fontId="4" fillId="3" borderId="14" xfId="0" applyNumberFormat="1" applyFont="1" applyFill="1" applyBorder="1"/>
    <xf numFmtId="37" fontId="4" fillId="3" borderId="14" xfId="0" applyNumberFormat="1" applyFont="1" applyFill="1" applyBorder="1" applyProtection="1">
      <protection hidden="1"/>
    </xf>
    <xf numFmtId="37" fontId="7" fillId="3" borderId="15" xfId="0" applyNumberFormat="1" applyFont="1" applyFill="1" applyBorder="1" applyProtection="1">
      <protection hidden="1"/>
    </xf>
    <xf numFmtId="38" fontId="4" fillId="3" borderId="14" xfId="0" applyNumberFormat="1" applyFont="1" applyFill="1" applyBorder="1" applyProtection="1">
      <protection hidden="1"/>
    </xf>
    <xf numFmtId="37" fontId="4" fillId="3" borderId="16" xfId="0" applyNumberFormat="1" applyFont="1" applyFill="1" applyBorder="1" applyProtection="1">
      <protection hidden="1"/>
    </xf>
    <xf numFmtId="37" fontId="8" fillId="3" borderId="17" xfId="0" applyNumberFormat="1" applyFont="1" applyFill="1" applyBorder="1" applyProtection="1">
      <protection hidden="1"/>
    </xf>
    <xf numFmtId="37" fontId="8" fillId="3" borderId="18" xfId="0" applyNumberFormat="1" applyFont="1" applyFill="1" applyBorder="1" applyProtection="1">
      <protection hidden="1"/>
    </xf>
    <xf numFmtId="39" fontId="4" fillId="3" borderId="14" xfId="0" applyNumberFormat="1" applyFont="1" applyFill="1" applyBorder="1" applyProtection="1">
      <protection hidden="1"/>
    </xf>
    <xf numFmtId="37" fontId="8" fillId="3" borderId="14" xfId="0" applyNumberFormat="1" applyFont="1" applyFill="1" applyBorder="1" applyProtection="1">
      <protection hidden="1"/>
    </xf>
    <xf numFmtId="37" fontId="8" fillId="3" borderId="19" xfId="0" applyNumberFormat="1" applyFont="1" applyFill="1" applyBorder="1" applyProtection="1">
      <protection hidden="1"/>
    </xf>
    <xf numFmtId="37" fontId="15" fillId="2" borderId="0" xfId="0" applyNumberFormat="1" applyFont="1" applyFill="1" applyBorder="1"/>
    <xf numFmtId="49" fontId="15" fillId="2" borderId="0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1171575</xdr:colOff>
      <xdr:row>4</xdr:row>
      <xdr:rowOff>85725</xdr:rowOff>
    </xdr:to>
    <xdr:pic>
      <xdr:nvPicPr>
        <xdr:cNvPr id="10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8229600" cy="8477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showOutlineSymbols="0" zoomScale="70" zoomScaleNormal="70" zoomScaleSheetLayoutView="75" workbookViewId="0">
      <selection activeCell="G55" sqref="G55"/>
    </sheetView>
  </sheetViews>
  <sheetFormatPr defaultColWidth="11.44140625" defaultRowHeight="15"/>
  <cols>
    <col min="1" max="1" width="43.44140625" customWidth="1"/>
    <col min="2" max="2" width="18" customWidth="1"/>
    <col min="3" max="3" width="1.77734375" customWidth="1"/>
    <col min="4" max="4" width="17.33203125" customWidth="1"/>
    <col min="5" max="5" width="1.77734375" style="4" customWidth="1"/>
    <col min="6" max="6" width="18.33203125" customWidth="1"/>
    <col min="7" max="7" width="17" customWidth="1"/>
  </cols>
  <sheetData>
    <row r="1" spans="1:7">
      <c r="A1" s="1"/>
      <c r="B1" s="2"/>
      <c r="C1" s="2"/>
      <c r="D1" s="2"/>
      <c r="E1" s="2"/>
      <c r="F1" s="2"/>
    </row>
    <row r="2" spans="1:7">
      <c r="A2" s="3"/>
      <c r="B2" s="4"/>
      <c r="C2" s="4"/>
      <c r="D2" s="4"/>
      <c r="F2" s="4"/>
    </row>
    <row r="3" spans="1:7">
      <c r="A3" s="3"/>
      <c r="B3" s="4"/>
      <c r="C3" s="4"/>
      <c r="D3" s="4"/>
      <c r="F3" s="4"/>
    </row>
    <row r="4" spans="1:7">
      <c r="A4" s="3"/>
      <c r="B4" s="4"/>
      <c r="C4" s="4"/>
      <c r="D4" s="4"/>
      <c r="F4" s="4"/>
    </row>
    <row r="5" spans="1:7">
      <c r="A5" s="3"/>
      <c r="B5" s="4"/>
      <c r="C5" s="4"/>
      <c r="D5" s="4"/>
      <c r="F5" s="4"/>
    </row>
    <row r="6" spans="1:7" ht="18.75">
      <c r="A6" s="82" t="s">
        <v>53</v>
      </c>
      <c r="B6" s="4"/>
      <c r="C6" s="4"/>
      <c r="D6" s="4"/>
      <c r="F6" s="4"/>
    </row>
    <row r="7" spans="1:7" ht="18.75">
      <c r="A7" s="83" t="s">
        <v>54</v>
      </c>
      <c r="B7" s="4"/>
      <c r="C7" s="4"/>
      <c r="D7" s="4"/>
      <c r="F7" s="4"/>
    </row>
    <row r="8" spans="1:7">
      <c r="A8" s="3"/>
      <c r="B8" s="4"/>
      <c r="C8" s="4"/>
      <c r="D8" s="4"/>
      <c r="F8" s="4"/>
    </row>
    <row r="9" spans="1:7">
      <c r="A9" s="3"/>
      <c r="B9" s="4"/>
      <c r="C9" s="4"/>
      <c r="D9" s="4"/>
      <c r="F9" s="4"/>
    </row>
    <row r="10" spans="1:7" ht="15.75">
      <c r="A10" s="5"/>
      <c r="B10" s="6"/>
      <c r="C10" s="7"/>
      <c r="D10" s="6"/>
      <c r="E10" s="7"/>
      <c r="F10" s="6"/>
    </row>
    <row r="11" spans="1:7" s="11" customFormat="1" ht="20.25">
      <c r="A11" s="8" t="s">
        <v>0</v>
      </c>
      <c r="B11" s="9"/>
      <c r="C11" s="10"/>
      <c r="D11" s="9"/>
      <c r="E11" s="10"/>
      <c r="F11" s="9"/>
      <c r="G11"/>
    </row>
    <row r="12" spans="1:7" s="11" customFormat="1" ht="20.25">
      <c r="A12" s="12" t="s">
        <v>1</v>
      </c>
      <c r="B12" s="13"/>
      <c r="C12" s="14"/>
      <c r="D12" s="13"/>
      <c r="E12" s="14"/>
      <c r="F12" s="13"/>
      <c r="G12"/>
    </row>
    <row r="13" spans="1:7" s="11" customFormat="1" ht="20.25">
      <c r="A13" s="12" t="s">
        <v>49</v>
      </c>
      <c r="B13" s="13"/>
      <c r="C13" s="14"/>
      <c r="D13" s="13"/>
      <c r="E13" s="14"/>
      <c r="F13" s="13"/>
      <c r="G13"/>
    </row>
    <row r="14" spans="1:7" s="11" customFormat="1" ht="17.25">
      <c r="A14" s="15" t="s">
        <v>2</v>
      </c>
      <c r="B14" s="16"/>
      <c r="C14" s="16"/>
      <c r="D14" s="16"/>
      <c r="E14" s="16"/>
      <c r="F14" s="17"/>
      <c r="G14"/>
    </row>
    <row r="15" spans="1:7" s="11" customFormat="1" ht="17.25">
      <c r="A15" s="18"/>
      <c r="B15" s="69">
        <v>2010</v>
      </c>
      <c r="C15" s="19"/>
      <c r="D15" s="69">
        <v>2011</v>
      </c>
      <c r="E15" s="20"/>
      <c r="F15" s="56">
        <v>2011</v>
      </c>
      <c r="G15"/>
    </row>
    <row r="16" spans="1:7" s="11" customFormat="1" ht="17.25">
      <c r="A16" s="18"/>
      <c r="B16" s="70" t="s">
        <v>51</v>
      </c>
      <c r="C16" s="21"/>
      <c r="D16" s="70" t="s">
        <v>48</v>
      </c>
      <c r="E16" s="21"/>
      <c r="F16" s="57" t="s">
        <v>50</v>
      </c>
      <c r="G16"/>
    </row>
    <row r="17" spans="1:7" s="11" customFormat="1" ht="17.25">
      <c r="A17" s="18"/>
      <c r="B17" s="71" t="s">
        <v>3</v>
      </c>
      <c r="C17" s="21"/>
      <c r="D17" s="71" t="s">
        <v>3</v>
      </c>
      <c r="E17" s="21"/>
      <c r="F17" s="58" t="s">
        <v>3</v>
      </c>
      <c r="G17"/>
    </row>
    <row r="18" spans="1:7" s="11" customFormat="1" ht="17.25">
      <c r="A18" s="22" t="s">
        <v>4</v>
      </c>
      <c r="B18" s="72"/>
      <c r="C18" s="23"/>
      <c r="D18" s="72"/>
      <c r="E18" s="23"/>
      <c r="F18" s="59"/>
      <c r="G18"/>
    </row>
    <row r="19" spans="1:7" s="11" customFormat="1" ht="17.25">
      <c r="A19" s="24" t="s">
        <v>5</v>
      </c>
      <c r="B19" s="72"/>
      <c r="C19" s="23"/>
      <c r="D19" s="72"/>
      <c r="E19" s="23"/>
      <c r="F19" s="59"/>
      <c r="G19"/>
    </row>
    <row r="20" spans="1:7" s="11" customFormat="1" ht="17.25">
      <c r="A20" s="18" t="s">
        <v>6</v>
      </c>
      <c r="B20" s="73">
        <f>45175729-58832</f>
        <v>45116897</v>
      </c>
      <c r="C20" s="25"/>
      <c r="D20" s="73">
        <f>45572587-21985</f>
        <v>45550602</v>
      </c>
      <c r="E20" s="25"/>
      <c r="F20" s="60">
        <f>46971376-23420</f>
        <v>46947956</v>
      </c>
      <c r="G20"/>
    </row>
    <row r="21" spans="1:7" s="11" customFormat="1" ht="17.25">
      <c r="A21" s="18" t="s">
        <v>7</v>
      </c>
      <c r="B21" s="73">
        <f>65439+51969671+146225195+13111078+70720-45175729+58832</f>
        <v>166325206</v>
      </c>
      <c r="C21" s="25"/>
      <c r="D21" s="73">
        <f>116652+14461209+197389623+13416406+635-45572587+21985</f>
        <v>179833923</v>
      </c>
      <c r="E21" s="25"/>
      <c r="F21" s="60">
        <f>117992+11553514+195540574+13434178+589-46971376+23420</f>
        <v>173698891</v>
      </c>
      <c r="G21" s="26"/>
    </row>
    <row r="22" spans="1:7" s="11" customFormat="1" ht="17.25">
      <c r="A22" s="18" t="s">
        <v>41</v>
      </c>
      <c r="B22" s="73">
        <v>28989903</v>
      </c>
      <c r="C22" s="25"/>
      <c r="D22" s="73">
        <v>28790701</v>
      </c>
      <c r="E22" s="25"/>
      <c r="F22" s="60">
        <v>28790701</v>
      </c>
      <c r="G22" s="47"/>
    </row>
    <row r="23" spans="1:7" s="11" customFormat="1" ht="17.25">
      <c r="A23" s="24" t="s">
        <v>8</v>
      </c>
      <c r="B23" s="74">
        <f>+B20+B21+B22</f>
        <v>240432006</v>
      </c>
      <c r="C23" s="27"/>
      <c r="D23" s="74">
        <f>+D20+D21+D22</f>
        <v>254175226</v>
      </c>
      <c r="E23" s="27"/>
      <c r="F23" s="61">
        <f>+F20+F21+F22</f>
        <v>249437548</v>
      </c>
      <c r="G23"/>
    </row>
    <row r="24" spans="1:7" s="11" customFormat="1" ht="17.25">
      <c r="A24" s="18"/>
      <c r="B24" s="73"/>
      <c r="C24" s="25"/>
      <c r="D24" s="73"/>
      <c r="E24" s="25"/>
      <c r="F24" s="60"/>
      <c r="G24"/>
    </row>
    <row r="25" spans="1:7" s="11" customFormat="1" ht="17.25">
      <c r="A25" s="24" t="s">
        <v>9</v>
      </c>
      <c r="B25" s="73"/>
      <c r="C25" s="25"/>
      <c r="D25" s="73"/>
      <c r="E25" s="25"/>
      <c r="F25" s="60"/>
      <c r="G25"/>
    </row>
    <row r="26" spans="1:7" s="11" customFormat="1" ht="17.25">
      <c r="A26" s="18" t="s">
        <v>10</v>
      </c>
      <c r="B26" s="73" t="s">
        <v>11</v>
      </c>
      <c r="C26" s="25"/>
      <c r="D26" s="73" t="s">
        <v>11</v>
      </c>
      <c r="E26" s="25"/>
      <c r="F26" s="60" t="s">
        <v>11</v>
      </c>
      <c r="G26"/>
    </row>
    <row r="27" spans="1:7" s="11" customFormat="1" ht="17.25">
      <c r="A27" s="18" t="s">
        <v>43</v>
      </c>
      <c r="B27" s="73">
        <f>484+87549100</f>
        <v>87549584</v>
      </c>
      <c r="C27" s="25"/>
      <c r="D27" s="73">
        <f>313+93239218</f>
        <v>93239531</v>
      </c>
      <c r="E27" s="25"/>
      <c r="F27" s="60">
        <f>314+93239218</f>
        <v>93239532</v>
      </c>
      <c r="G27"/>
    </row>
    <row r="28" spans="1:7" s="11" customFormat="1" ht="17.25" hidden="1">
      <c r="A28" s="18" t="s">
        <v>12</v>
      </c>
      <c r="B28" s="73">
        <f>0</f>
        <v>0</v>
      </c>
      <c r="C28" s="25"/>
      <c r="D28" s="73">
        <f>0</f>
        <v>0</v>
      </c>
      <c r="E28" s="25"/>
      <c r="F28" s="60">
        <f>0</f>
        <v>0</v>
      </c>
      <c r="G28"/>
    </row>
    <row r="29" spans="1:7" s="11" customFormat="1" ht="17.25" hidden="1">
      <c r="A29" s="18" t="s">
        <v>13</v>
      </c>
      <c r="B29" s="73">
        <v>0</v>
      </c>
      <c r="C29" s="25"/>
      <c r="D29" s="73">
        <v>0</v>
      </c>
      <c r="E29" s="25"/>
      <c r="F29" s="60">
        <v>0</v>
      </c>
      <c r="G29"/>
    </row>
    <row r="30" spans="1:7" s="11" customFormat="1" ht="17.25">
      <c r="A30" s="18" t="s">
        <v>46</v>
      </c>
      <c r="B30" s="75">
        <f>735776+10318594</f>
        <v>11054370</v>
      </c>
      <c r="C30" s="49"/>
      <c r="D30" s="75">
        <f>11953633+2776835</f>
        <v>14730468</v>
      </c>
      <c r="E30" s="25"/>
      <c r="F30" s="62">
        <f>12042452+3539453</f>
        <v>15581905</v>
      </c>
      <c r="G30"/>
    </row>
    <row r="31" spans="1:7" s="11" customFormat="1" ht="17.25">
      <c r="A31" s="18" t="s">
        <v>14</v>
      </c>
      <c r="B31" s="73">
        <f>3212511+3988000</f>
        <v>7200511</v>
      </c>
      <c r="C31" s="28"/>
      <c r="D31" s="73">
        <v>0</v>
      </c>
      <c r="E31" s="29"/>
      <c r="F31" s="60">
        <v>0</v>
      </c>
      <c r="G31"/>
    </row>
    <row r="32" spans="1:7" s="11" customFormat="1" ht="17.25">
      <c r="A32" s="18" t="s">
        <v>15</v>
      </c>
      <c r="B32" s="73">
        <v>46</v>
      </c>
      <c r="C32" s="25"/>
      <c r="D32" s="73">
        <v>17</v>
      </c>
      <c r="E32" s="25"/>
      <c r="F32" s="60">
        <v>82</v>
      </c>
      <c r="G32"/>
    </row>
    <row r="33" spans="1:7" s="11" customFormat="1" ht="17.25">
      <c r="A33" s="18" t="s">
        <v>16</v>
      </c>
      <c r="B33" s="76">
        <f>114740+4138110-45821+3634052+34231+5691128+13141653-3988000</f>
        <v>22720093</v>
      </c>
      <c r="C33" s="25"/>
      <c r="D33" s="76">
        <f>115278+4182062+3528727+(-2512)+3189859+10661875</f>
        <v>21675289</v>
      </c>
      <c r="E33" s="25"/>
      <c r="F33" s="63">
        <f>89311+4182062+3495296-2515+3484500+10481003</f>
        <v>21729657</v>
      </c>
      <c r="G33"/>
    </row>
    <row r="34" spans="1:7" s="11" customFormat="1" ht="17.25">
      <c r="A34" s="24" t="s">
        <v>17</v>
      </c>
      <c r="B34" s="77">
        <f>SUM(B27:B33)</f>
        <v>128524604</v>
      </c>
      <c r="C34" s="30"/>
      <c r="D34" s="77">
        <f>SUM(D27:D33)</f>
        <v>129645305</v>
      </c>
      <c r="E34" s="30"/>
      <c r="F34" s="64">
        <f>SUM(F27:F33)</f>
        <v>130551176</v>
      </c>
      <c r="G34"/>
    </row>
    <row r="35" spans="1:7" s="11" customFormat="1" ht="18" thickBot="1">
      <c r="A35" s="22" t="s">
        <v>18</v>
      </c>
      <c r="B35" s="78">
        <f>+B34+B23</f>
        <v>368956610</v>
      </c>
      <c r="C35" s="30"/>
      <c r="D35" s="78">
        <f>+D34+D23</f>
        <v>383820531</v>
      </c>
      <c r="E35" s="30"/>
      <c r="F35" s="65">
        <f>+F34+F23</f>
        <v>379988724</v>
      </c>
      <c r="G35"/>
    </row>
    <row r="36" spans="1:7" s="11" customFormat="1" ht="18" thickTop="1">
      <c r="A36" s="18"/>
      <c r="B36" s="73"/>
      <c r="C36" s="25"/>
      <c r="D36" s="73"/>
      <c r="E36" s="25"/>
      <c r="F36" s="60"/>
      <c r="G36"/>
    </row>
    <row r="37" spans="1:7" s="11" customFormat="1" ht="17.25">
      <c r="A37" s="22" t="s">
        <v>19</v>
      </c>
      <c r="B37" s="73"/>
      <c r="C37" s="25"/>
      <c r="D37" s="73"/>
      <c r="E37" s="25"/>
      <c r="F37" s="60"/>
      <c r="G37"/>
    </row>
    <row r="38" spans="1:7" s="11" customFormat="1" ht="17.25">
      <c r="A38" s="24" t="s">
        <v>20</v>
      </c>
      <c r="B38" s="79"/>
      <c r="C38" s="25"/>
      <c r="D38" s="79"/>
      <c r="E38" s="25"/>
      <c r="F38" s="66"/>
      <c r="G38"/>
    </row>
    <row r="39" spans="1:7" s="11" customFormat="1" ht="17.25">
      <c r="A39" s="18" t="s">
        <v>21</v>
      </c>
      <c r="B39" s="73">
        <f>44069405+2134743</f>
        <v>46204148</v>
      </c>
      <c r="C39" s="25"/>
      <c r="D39" s="73">
        <f>48589887+2332361</f>
        <v>50922248</v>
      </c>
      <c r="E39" s="25"/>
      <c r="F39" s="60">
        <f>47758611+2341031</f>
        <v>50099642</v>
      </c>
      <c r="G39" s="26"/>
    </row>
    <row r="40" spans="1:7" s="11" customFormat="1" ht="17.25">
      <c r="A40" s="18" t="s">
        <v>22</v>
      </c>
      <c r="B40" s="79"/>
      <c r="C40" s="25"/>
      <c r="D40" s="79"/>
      <c r="E40" s="25"/>
      <c r="F40" s="66"/>
      <c r="G40"/>
    </row>
    <row r="41" spans="1:7" s="11" customFormat="1" ht="17.25">
      <c r="A41" s="18" t="s">
        <v>23</v>
      </c>
      <c r="B41" s="73">
        <f>19482996+37748+176636+226+7761492</f>
        <v>27459098</v>
      </c>
      <c r="C41" s="25"/>
      <c r="D41" s="73">
        <f>22269204+29855+916440+14126027</f>
        <v>37341526</v>
      </c>
      <c r="E41" s="25"/>
      <c r="F41" s="60">
        <f>21941908+30301+918430+17385647</f>
        <v>40276286</v>
      </c>
      <c r="G41" s="31"/>
    </row>
    <row r="42" spans="1:7" s="11" customFormat="1" ht="17.25">
      <c r="A42" s="18" t="s">
        <v>24</v>
      </c>
      <c r="B42" s="73">
        <f>55666779+12937017+6714</f>
        <v>68610510</v>
      </c>
      <c r="C42" s="25"/>
      <c r="D42" s="73">
        <f>55666779+17223211+6714</f>
        <v>72896704</v>
      </c>
      <c r="E42" s="25"/>
      <c r="F42" s="60">
        <f>57448234+17774391+6929</f>
        <v>75229554</v>
      </c>
      <c r="G42" s="31"/>
    </row>
    <row r="43" spans="1:7" s="11" customFormat="1" ht="17.25">
      <c r="A43" s="18" t="s">
        <v>25</v>
      </c>
      <c r="B43" s="73">
        <f>59713534-9164838</f>
        <v>50548696</v>
      </c>
      <c r="C43" s="25"/>
      <c r="D43" s="73">
        <f>54723425-8961000</f>
        <v>45762425</v>
      </c>
      <c r="E43" s="25"/>
      <c r="F43" s="60">
        <f>47689934-803000</f>
        <v>46886934</v>
      </c>
      <c r="G43" s="26"/>
    </row>
    <row r="44" spans="1:7" s="11" customFormat="1" ht="17.25">
      <c r="A44" s="18" t="s">
        <v>26</v>
      </c>
      <c r="B44" s="73">
        <f>195088512-37748-116656490-176636-226-7761492-55666779-12937017-6714</f>
        <v>1845410</v>
      </c>
      <c r="C44" s="25"/>
      <c r="D44" s="73">
        <f>202149645-29855-112466242-72896704-916440-14126027</f>
        <v>1714377</v>
      </c>
      <c r="E44" s="25"/>
      <c r="F44" s="60">
        <f>207952228-30301-113278208-918430-17385647-57448234-17774391-6929</f>
        <v>1110088</v>
      </c>
      <c r="G44" s="31"/>
    </row>
    <row r="45" spans="1:7" s="11" customFormat="1" ht="17.25">
      <c r="A45" s="24" t="s">
        <v>27</v>
      </c>
      <c r="B45" s="77">
        <f>SUM(B39:B44)</f>
        <v>194667862</v>
      </c>
      <c r="C45" s="30"/>
      <c r="D45" s="77">
        <f>SUM(D39:D44)</f>
        <v>208637280</v>
      </c>
      <c r="E45" s="30"/>
      <c r="F45" s="64">
        <f>SUM(F39:F44)</f>
        <v>213602504</v>
      </c>
      <c r="G45"/>
    </row>
    <row r="46" spans="1:7" s="11" customFormat="1" ht="17.25">
      <c r="A46" s="32"/>
      <c r="B46" s="73"/>
      <c r="C46" s="25"/>
      <c r="D46" s="73"/>
      <c r="E46" s="25"/>
      <c r="F46" s="60"/>
      <c r="G46"/>
    </row>
    <row r="47" spans="1:7" s="11" customFormat="1" ht="17.25">
      <c r="A47" s="24" t="s">
        <v>28</v>
      </c>
      <c r="B47" s="73"/>
      <c r="C47" s="25"/>
      <c r="D47" s="73"/>
      <c r="E47" s="25"/>
      <c r="F47" s="60"/>
      <c r="G47"/>
    </row>
    <row r="48" spans="1:7" s="11" customFormat="1" ht="17.25">
      <c r="A48" s="18" t="s">
        <v>42</v>
      </c>
      <c r="B48" s="73">
        <v>35155288</v>
      </c>
      <c r="C48" s="25"/>
      <c r="D48" s="73">
        <v>36280382</v>
      </c>
      <c r="E48" s="25"/>
      <c r="F48" s="60">
        <f>36280382</f>
        <v>36280382</v>
      </c>
      <c r="G48" s="26"/>
    </row>
    <row r="49" spans="1:7" s="11" customFormat="1" ht="17.25">
      <c r="A49" s="18" t="s">
        <v>29</v>
      </c>
      <c r="B49" s="73">
        <f>44091+18206</f>
        <v>62297</v>
      </c>
      <c r="C49" s="25"/>
      <c r="D49" s="73">
        <f>86226-19255</f>
        <v>66971</v>
      </c>
      <c r="E49" s="25"/>
      <c r="F49" s="60">
        <f>172315+3232</f>
        <v>175547</v>
      </c>
      <c r="G49"/>
    </row>
    <row r="50" spans="1:7" s="11" customFormat="1" ht="17.25">
      <c r="A50" s="18" t="s">
        <v>30</v>
      </c>
      <c r="B50" s="73">
        <f>9164838+116656490</f>
        <v>125821328</v>
      </c>
      <c r="C50" s="25"/>
      <c r="D50" s="73">
        <f>8961000+112466242</f>
        <v>121427242</v>
      </c>
      <c r="E50" s="25"/>
      <c r="F50" s="60">
        <f>803000+113278208</f>
        <v>114081208</v>
      </c>
      <c r="G50"/>
    </row>
    <row r="51" spans="1:7" s="11" customFormat="1" ht="17.25" hidden="1">
      <c r="A51" s="18" t="s">
        <v>31</v>
      </c>
      <c r="B51" s="73">
        <f>-10318594+10318594</f>
        <v>0</v>
      </c>
      <c r="C51" s="25"/>
      <c r="D51" s="75">
        <f>-2776835+2776835</f>
        <v>0</v>
      </c>
      <c r="E51" s="25"/>
      <c r="F51" s="62">
        <f>-3539453+3539453</f>
        <v>0</v>
      </c>
      <c r="G51" s="26"/>
    </row>
    <row r="52" spans="1:7" s="11" customFormat="1" ht="17.25">
      <c r="A52" s="18" t="s">
        <v>32</v>
      </c>
      <c r="B52" s="73">
        <f>2387752+1614020</f>
        <v>4001772</v>
      </c>
      <c r="C52" s="25"/>
      <c r="D52" s="73">
        <f>-585047+2896639+1739430</f>
        <v>4051022</v>
      </c>
      <c r="E52" s="30"/>
      <c r="F52" s="60">
        <f>547921+2002606</f>
        <v>2550527</v>
      </c>
      <c r="G52"/>
    </row>
    <row r="53" spans="1:7" s="11" customFormat="1" ht="17.25">
      <c r="A53" s="24" t="s">
        <v>33</v>
      </c>
      <c r="B53" s="77">
        <f>SUM(B48:B52)</f>
        <v>165040685</v>
      </c>
      <c r="C53" s="30"/>
      <c r="D53" s="77">
        <f>SUM(D48:D52)</f>
        <v>161825617</v>
      </c>
      <c r="E53" s="25"/>
      <c r="F53" s="64">
        <f>SUM(F48:F52)</f>
        <v>153087664</v>
      </c>
      <c r="G53"/>
    </row>
    <row r="54" spans="1:7" s="11" customFormat="1" ht="17.25">
      <c r="A54" s="18"/>
      <c r="B54" s="73"/>
      <c r="C54" s="25"/>
      <c r="D54" s="73"/>
      <c r="E54" s="25"/>
      <c r="F54" s="60"/>
      <c r="G54"/>
    </row>
    <row r="55" spans="1:7" s="11" customFormat="1" ht="17.25">
      <c r="A55" s="24" t="s">
        <v>34</v>
      </c>
      <c r="B55" s="73"/>
      <c r="C55" s="25"/>
      <c r="D55" s="73"/>
      <c r="E55" s="25"/>
      <c r="F55" s="60"/>
      <c r="G55"/>
    </row>
    <row r="56" spans="1:7" s="11" customFormat="1" ht="17.25">
      <c r="A56" s="18" t="s">
        <v>35</v>
      </c>
      <c r="B56" s="73"/>
      <c r="C56" s="25"/>
      <c r="D56" s="73"/>
      <c r="E56" s="25"/>
      <c r="F56" s="60"/>
      <c r="G56"/>
    </row>
    <row r="57" spans="1:7" s="11" customFormat="1" ht="17.25">
      <c r="A57" s="18" t="s">
        <v>36</v>
      </c>
      <c r="B57" s="73">
        <f>4000</f>
        <v>4000</v>
      </c>
      <c r="C57" s="25"/>
      <c r="D57" s="73">
        <f>4000</f>
        <v>4000</v>
      </c>
      <c r="E57" s="25"/>
      <c r="F57" s="60">
        <f>4000</f>
        <v>4000</v>
      </c>
      <c r="G57" s="33"/>
    </row>
    <row r="58" spans="1:7" s="11" customFormat="1" ht="17.25">
      <c r="A58" s="18" t="s">
        <v>37</v>
      </c>
      <c r="B58" s="73">
        <v>20000</v>
      </c>
      <c r="C58" s="25"/>
      <c r="D58" s="73">
        <v>20000</v>
      </c>
      <c r="E58" s="25"/>
      <c r="F58" s="60">
        <v>20000</v>
      </c>
      <c r="G58"/>
    </row>
    <row r="59" spans="1:7" s="11" customFormat="1" ht="17.25">
      <c r="A59" s="18" t="s">
        <v>38</v>
      </c>
      <c r="B59" s="76">
        <v>9224063</v>
      </c>
      <c r="C59" s="25"/>
      <c r="D59" s="76">
        <v>13333634</v>
      </c>
      <c r="E59" s="25"/>
      <c r="F59" s="63">
        <v>13274556</v>
      </c>
      <c r="G59"/>
    </row>
    <row r="60" spans="1:7" s="11" customFormat="1" ht="17.25">
      <c r="A60" s="24" t="s">
        <v>39</v>
      </c>
      <c r="B60" s="80">
        <f>SUM(B57:B59)</f>
        <v>9248063</v>
      </c>
      <c r="C60" s="30"/>
      <c r="D60" s="80">
        <f>SUM(D57:D59)</f>
        <v>13357634</v>
      </c>
      <c r="E60" s="30"/>
      <c r="F60" s="67">
        <f>SUM(F57:F59)</f>
        <v>13298556</v>
      </c>
      <c r="G60"/>
    </row>
    <row r="61" spans="1:7" s="11" customFormat="1" ht="18" thickBot="1">
      <c r="A61" s="34" t="s">
        <v>40</v>
      </c>
      <c r="B61" s="81">
        <f>B45+B53+B60</f>
        <v>368956610</v>
      </c>
      <c r="C61" s="35"/>
      <c r="D61" s="81">
        <f>D45+D53+D60</f>
        <v>383820531</v>
      </c>
      <c r="E61" s="36"/>
      <c r="F61" s="68">
        <f>F45+F53+F60</f>
        <v>379988724</v>
      </c>
      <c r="G61"/>
    </row>
    <row r="62" spans="1:7" s="11" customFormat="1" ht="18" thickTop="1">
      <c r="A62" s="18"/>
      <c r="B62" s="48"/>
      <c r="C62" s="23"/>
      <c r="D62" s="37"/>
      <c r="E62" s="37"/>
      <c r="F62" s="38"/>
      <c r="G62"/>
    </row>
    <row r="63" spans="1:7" s="11" customFormat="1" ht="15" customHeight="1">
      <c r="A63" s="15"/>
      <c r="B63" s="16"/>
      <c r="C63" s="39"/>
      <c r="D63" s="16"/>
      <c r="E63" s="39"/>
      <c r="F63" s="17"/>
      <c r="G63"/>
    </row>
    <row r="64" spans="1:7" s="11" customFormat="1" ht="19.5" customHeight="1">
      <c r="A64" s="51" t="s">
        <v>47</v>
      </c>
      <c r="B64" s="23"/>
      <c r="C64" s="52"/>
      <c r="D64" s="53"/>
      <c r="E64" s="53"/>
      <c r="F64" s="54"/>
      <c r="G64" s="55"/>
    </row>
    <row r="65" spans="1:9" s="11" customFormat="1" ht="17.25">
      <c r="A65" s="50" t="s">
        <v>52</v>
      </c>
      <c r="B65" s="40"/>
      <c r="C65" s="41"/>
      <c r="D65" s="42"/>
      <c r="E65" s="40"/>
      <c r="F65" s="42"/>
      <c r="G65"/>
    </row>
    <row r="66" spans="1:9" s="11" customFormat="1" ht="17.25">
      <c r="A66" s="18" t="s">
        <v>44</v>
      </c>
      <c r="B66" s="23"/>
      <c r="C66" s="23"/>
      <c r="D66" s="43"/>
      <c r="E66" s="23"/>
      <c r="F66" s="43"/>
      <c r="G66" s="44"/>
      <c r="H66" s="23"/>
      <c r="I66" s="23"/>
    </row>
    <row r="67" spans="1:9" s="11" customFormat="1" ht="17.25">
      <c r="A67" s="15" t="s">
        <v>45</v>
      </c>
      <c r="B67" s="45"/>
      <c r="C67" s="45"/>
      <c r="D67" s="45"/>
      <c r="E67" s="45"/>
      <c r="F67" s="46"/>
      <c r="G67"/>
    </row>
    <row r="69" spans="1:9" hidden="1">
      <c r="B69">
        <f>B61-B35</f>
        <v>0</v>
      </c>
      <c r="D69">
        <f>D61-D35</f>
        <v>0</v>
      </c>
      <c r="E69" s="4">
        <f>E61-E35</f>
        <v>0</v>
      </c>
      <c r="F69">
        <f>F61-F35</f>
        <v>0</v>
      </c>
    </row>
  </sheetData>
  <phoneticPr fontId="0" type="noConversion"/>
  <printOptions horizontalCentered="1" verticalCentered="1"/>
  <pageMargins left="0.5" right="0.5" top="0" bottom="0" header="0.25" footer="0.25"/>
  <pageSetup scale="65" orientation="portrait" horizontalDpi="300" verticalDpi="300" r:id="rId1"/>
  <headerFooter alignWithMargins="0">
    <oddHeader>&amp;CSCHEDULE I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balance sheet - 12 October 2011</vt:lpstr>
      <vt:lpstr>'balance sheet - 12 October 2011'!Print_Area</vt:lpstr>
      <vt:lpstr>Print_Area</vt:lpstr>
    </vt:vector>
  </TitlesOfParts>
  <Company>Bank of Jamaica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CLAUDINE HARRIOTTSMITH</dc:creator>
  <cp:lastModifiedBy>rowenaa</cp:lastModifiedBy>
  <cp:lastPrinted>2011-10-18T18:26:05Z</cp:lastPrinted>
  <dcterms:created xsi:type="dcterms:W3CDTF">2009-02-04T22:27:27Z</dcterms:created>
  <dcterms:modified xsi:type="dcterms:W3CDTF">2011-10-27T15:34:39Z</dcterms:modified>
</cp:coreProperties>
</file>