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55" windowWidth="15480" windowHeight="10860"/>
  </bookViews>
  <sheets>
    <sheet name="Balance Sheet - 08 May 2013" sheetId="1" r:id="rId1"/>
    <sheet name="DEFERRED FRAN NOTES CHRG TO RES" sheetId="2" state="hidden" r:id="rId2"/>
    <sheet name="DEFERRED FRAN NOTES CHRG TO P&amp;L" sheetId="3" state="hidden" r:id="rId3"/>
    <sheet name="P&amp;L-DEFERRED FRAN NOTES CHRG " sheetId="4" state="hidden" r:id="rId4"/>
  </sheets>
  <externalReferences>
    <externalReference r:id="rId5"/>
  </externalReferences>
  <definedNames>
    <definedName name="_xlnm.Print_Area" localSheetId="0">'Balance Sheet - 08 May 2013'!$A$9:$F$65</definedName>
    <definedName name="_xlnm.Print_Area" localSheetId="2">'DEFERRED FRAN NOTES CHRG TO P&amp;L'!$A$1:$G$68</definedName>
    <definedName name="_xlnm.Print_Area" localSheetId="1">'DEFERRED FRAN NOTES CHRG TO RES'!$A$1:$G$69</definedName>
    <definedName name="_xlnm.Print_Area">'Balance Sheet - 08 May 2013'!$A$8:$F$61</definedName>
  </definedNames>
  <calcPr calcId="145621"/>
</workbook>
</file>

<file path=xl/calcChain.xml><?xml version="1.0" encoding="utf-8"?>
<calcChain xmlns="http://schemas.openxmlformats.org/spreadsheetml/2006/main">
  <c r="F48" i="1" l="1"/>
  <c r="F41" i="1"/>
  <c r="F28" i="1"/>
  <c r="F49" i="1"/>
  <c r="B55" i="1"/>
  <c r="B58" i="1" s="1"/>
  <c r="B50" i="1"/>
  <c r="B48" i="1"/>
  <c r="B47" i="1"/>
  <c r="B46" i="1"/>
  <c r="B42" i="1"/>
  <c r="B41" i="1"/>
  <c r="B40" i="1"/>
  <c r="B39" i="1"/>
  <c r="B37" i="1"/>
  <c r="B31" i="1"/>
  <c r="B26" i="1"/>
  <c r="B25" i="1"/>
  <c r="B19" i="1"/>
  <c r="B18" i="1"/>
  <c r="B21" i="1" s="1"/>
  <c r="B51" i="1" l="1"/>
  <c r="B43" i="1"/>
  <c r="B59" i="1" s="1"/>
  <c r="B32" i="1"/>
  <c r="B33" i="1"/>
  <c r="F42" i="1" l="1"/>
  <c r="F40" i="1"/>
  <c r="F50" i="1" l="1"/>
  <c r="F47" i="1"/>
  <c r="F39" i="1"/>
  <c r="F37" i="1"/>
  <c r="F31" i="1"/>
  <c r="F25" i="1"/>
  <c r="F19" i="1"/>
  <c r="F18" i="1"/>
  <c r="D55" i="1"/>
  <c r="D58" i="1" s="1"/>
  <c r="D50" i="1"/>
  <c r="D49" i="1"/>
  <c r="D48" i="1"/>
  <c r="D47" i="1"/>
  <c r="D42" i="1"/>
  <c r="D41" i="1"/>
  <c r="D40" i="1"/>
  <c r="D39" i="1"/>
  <c r="D37" i="1"/>
  <c r="D31" i="1"/>
  <c r="D28" i="1"/>
  <c r="D26" i="1"/>
  <c r="D25" i="1"/>
  <c r="D19" i="1"/>
  <c r="D18" i="1"/>
  <c r="D51" i="1" l="1"/>
  <c r="D21" i="1"/>
  <c r="D32" i="1"/>
  <c r="D43" i="1"/>
  <c r="D59" i="1" s="1"/>
  <c r="D33" i="1" l="1"/>
  <c r="E39" i="4"/>
  <c r="E35" i="4"/>
  <c r="C31" i="4"/>
  <c r="D29" i="4"/>
  <c r="E29" i="4" s="1"/>
  <c r="D28" i="4"/>
  <c r="E28" i="4" s="1"/>
  <c r="D27" i="4"/>
  <c r="E27" i="4" s="1"/>
  <c r="D26" i="4"/>
  <c r="C22" i="4"/>
  <c r="C33" i="4" s="1"/>
  <c r="D20" i="4"/>
  <c r="E20" i="4" s="1"/>
  <c r="D19" i="4"/>
  <c r="E19" i="4" s="1"/>
  <c r="D18" i="4"/>
  <c r="E18" i="4" s="1"/>
  <c r="D17" i="4"/>
  <c r="D31" i="4" l="1"/>
  <c r="D22" i="4"/>
  <c r="C41" i="4"/>
  <c r="C37" i="4"/>
  <c r="E17" i="4"/>
  <c r="E22" i="4" s="1"/>
  <c r="E26" i="4"/>
  <c r="E31" i="4" s="1"/>
  <c r="D33" i="4" l="1"/>
  <c r="D41" i="4" s="1"/>
  <c r="E33" i="4"/>
  <c r="E41" i="4" s="1"/>
  <c r="D37" i="4" l="1"/>
  <c r="E37" i="4" s="1"/>
  <c r="F61" i="3"/>
  <c r="G60" i="3"/>
  <c r="G59" i="3"/>
  <c r="F58" i="3"/>
  <c r="G58" i="3" s="1"/>
  <c r="G61" i="3" s="1"/>
  <c r="D58" i="3"/>
  <c r="D61" i="3" s="1"/>
  <c r="B58" i="3"/>
  <c r="B61" i="3" s="1"/>
  <c r="F53" i="3"/>
  <c r="G53" i="3" s="1"/>
  <c r="D53" i="3"/>
  <c r="D54" i="3" s="1"/>
  <c r="B53" i="3"/>
  <c r="F52" i="3"/>
  <c r="G52" i="3" s="1"/>
  <c r="G51" i="3"/>
  <c r="F51" i="3"/>
  <c r="D51" i="3"/>
  <c r="B51" i="3"/>
  <c r="F50" i="3"/>
  <c r="F54" i="3" s="1"/>
  <c r="D50" i="3"/>
  <c r="B50" i="3"/>
  <c r="G49" i="3"/>
  <c r="B49" i="3"/>
  <c r="B54" i="3" s="1"/>
  <c r="B46" i="3"/>
  <c r="B62" i="3" s="1"/>
  <c r="F45" i="3"/>
  <c r="G45" i="3" s="1"/>
  <c r="D45" i="3"/>
  <c r="B45" i="3"/>
  <c r="F44" i="3"/>
  <c r="G44" i="3" s="1"/>
  <c r="D44" i="3"/>
  <c r="D46" i="3" s="1"/>
  <c r="B44" i="3"/>
  <c r="F43" i="3"/>
  <c r="G43" i="3" s="1"/>
  <c r="D43" i="3"/>
  <c r="B43" i="3"/>
  <c r="H42" i="3"/>
  <c r="H43" i="3" s="1"/>
  <c r="F42" i="3"/>
  <c r="F46" i="3" s="1"/>
  <c r="F62" i="3" s="1"/>
  <c r="D42" i="3"/>
  <c r="B42" i="3"/>
  <c r="G40" i="3"/>
  <c r="F40" i="3"/>
  <c r="D40" i="3"/>
  <c r="B40" i="3"/>
  <c r="F34" i="3"/>
  <c r="G34" i="3" s="1"/>
  <c r="D34" i="3"/>
  <c r="B34" i="3"/>
  <c r="G33" i="3"/>
  <c r="G32" i="3"/>
  <c r="F31" i="3"/>
  <c r="G31" i="3" s="1"/>
  <c r="D31" i="3"/>
  <c r="B31" i="3"/>
  <c r="B35" i="3" s="1"/>
  <c r="B36" i="3" s="1"/>
  <c r="G30" i="3"/>
  <c r="F29" i="3"/>
  <c r="G29" i="3" s="1"/>
  <c r="D29" i="3"/>
  <c r="B29" i="3"/>
  <c r="F28" i="3"/>
  <c r="F35" i="3" s="1"/>
  <c r="D28" i="3"/>
  <c r="D35" i="3" s="1"/>
  <c r="B28" i="3"/>
  <c r="G23" i="3"/>
  <c r="F22" i="3"/>
  <c r="F24" i="3" s="1"/>
  <c r="D22" i="3"/>
  <c r="B22" i="3"/>
  <c r="G21" i="3"/>
  <c r="F21" i="3"/>
  <c r="D21" i="3"/>
  <c r="D24" i="3" s="1"/>
  <c r="B21" i="3"/>
  <c r="B24" i="3" s="1"/>
  <c r="G62" i="3" l="1"/>
  <c r="B70" i="3"/>
  <c r="D36" i="3"/>
  <c r="F36" i="3"/>
  <c r="G46" i="3"/>
  <c r="D62" i="3"/>
  <c r="G22" i="3"/>
  <c r="G24" i="3" s="1"/>
  <c r="G42" i="3"/>
  <c r="G50" i="3"/>
  <c r="G54" i="3" s="1"/>
  <c r="G28" i="3"/>
  <c r="G35" i="3" s="1"/>
  <c r="G36" i="3" l="1"/>
  <c r="D70" i="3"/>
  <c r="F70" i="3"/>
  <c r="F62" i="2" l="1"/>
  <c r="D62" i="2"/>
  <c r="G61" i="2"/>
  <c r="G60" i="2"/>
  <c r="G59" i="2"/>
  <c r="F58" i="2"/>
  <c r="G58" i="2" s="1"/>
  <c r="G62" i="2" s="1"/>
  <c r="D58" i="2"/>
  <c r="B58" i="2"/>
  <c r="B62" i="2" s="1"/>
  <c r="F53" i="2"/>
  <c r="G53" i="2" s="1"/>
  <c r="D53" i="2"/>
  <c r="B53" i="2"/>
  <c r="G52" i="2"/>
  <c r="F51" i="2"/>
  <c r="G51" i="2" s="1"/>
  <c r="D51" i="2"/>
  <c r="B51" i="2"/>
  <c r="F50" i="2"/>
  <c r="G50" i="2" s="1"/>
  <c r="D50" i="2"/>
  <c r="D54" i="2" s="1"/>
  <c r="B50" i="2"/>
  <c r="G49" i="2"/>
  <c r="B49" i="2"/>
  <c r="B54" i="2" s="1"/>
  <c r="B46" i="2"/>
  <c r="B63" i="2" s="1"/>
  <c r="G45" i="2"/>
  <c r="F45" i="2"/>
  <c r="D45" i="2"/>
  <c r="B45" i="2"/>
  <c r="G44" i="2"/>
  <c r="F44" i="2"/>
  <c r="D44" i="2"/>
  <c r="B44" i="2"/>
  <c r="H43" i="2"/>
  <c r="F43" i="2"/>
  <c r="G43" i="2" s="1"/>
  <c r="D43" i="2"/>
  <c r="B43" i="2"/>
  <c r="H42" i="2"/>
  <c r="F42" i="2"/>
  <c r="G42" i="2" s="1"/>
  <c r="D42" i="2"/>
  <c r="B42" i="2"/>
  <c r="F40" i="2"/>
  <c r="F46" i="2" s="1"/>
  <c r="D40" i="2"/>
  <c r="D46" i="2" s="1"/>
  <c r="B40" i="2"/>
  <c r="F34" i="2"/>
  <c r="F35" i="2" s="1"/>
  <c r="F36" i="2" s="1"/>
  <c r="D34" i="2"/>
  <c r="B34" i="2"/>
  <c r="G33" i="2"/>
  <c r="G32" i="2"/>
  <c r="G31" i="2"/>
  <c r="F31" i="2"/>
  <c r="D31" i="2"/>
  <c r="B31" i="2"/>
  <c r="G30" i="2"/>
  <c r="F29" i="2"/>
  <c r="G29" i="2" s="1"/>
  <c r="D29" i="2"/>
  <c r="B29" i="2"/>
  <c r="F28" i="2"/>
  <c r="G28" i="2" s="1"/>
  <c r="D28" i="2"/>
  <c r="D35" i="2" s="1"/>
  <c r="B28" i="2"/>
  <c r="B35" i="2" s="1"/>
  <c r="B36" i="2" s="1"/>
  <c r="B24" i="2"/>
  <c r="G23" i="2"/>
  <c r="F22" i="2"/>
  <c r="G22" i="2" s="1"/>
  <c r="D22" i="2"/>
  <c r="B22" i="2"/>
  <c r="F21" i="2"/>
  <c r="F24" i="2" s="1"/>
  <c r="D21" i="2"/>
  <c r="D24" i="2" s="1"/>
  <c r="B21" i="2"/>
  <c r="B71" i="2" l="1"/>
  <c r="G54" i="2"/>
  <c r="D36" i="2"/>
  <c r="D63" i="2"/>
  <c r="G21" i="2"/>
  <c r="G24" i="2" s="1"/>
  <c r="G40" i="2"/>
  <c r="G46" i="2" s="1"/>
  <c r="F54" i="2"/>
  <c r="F63" i="2" s="1"/>
  <c r="G34" i="2"/>
  <c r="G35" i="2" s="1"/>
  <c r="D71" i="2" l="1"/>
  <c r="F71" i="2"/>
  <c r="G63" i="2"/>
  <c r="G36" i="2"/>
  <c r="F51" i="1" l="1"/>
  <c r="F26" i="1"/>
  <c r="F32" i="1" s="1"/>
  <c r="F55" i="1"/>
  <c r="F58" i="1"/>
  <c r="E67" i="1"/>
  <c r="F21" i="1"/>
  <c r="F43" i="1"/>
  <c r="D67" i="1"/>
  <c r="F33" i="1" l="1"/>
  <c r="F59" i="1"/>
  <c r="B67" i="1"/>
  <c r="F67" i="1" l="1"/>
</calcChain>
</file>

<file path=xl/sharedStrings.xml><?xml version="1.0" encoding="utf-8"?>
<sst xmlns="http://schemas.openxmlformats.org/spreadsheetml/2006/main" count="211" uniqueCount="92">
  <si>
    <t>NEWS RELEASE</t>
  </si>
  <si>
    <t>BANK OF JAMAICA</t>
  </si>
  <si>
    <t>BALANCE SHEET</t>
  </si>
  <si>
    <t xml:space="preserve"> </t>
  </si>
  <si>
    <t>CHANGE</t>
  </si>
  <si>
    <t>$'000</t>
  </si>
  <si>
    <t>ASSETS</t>
  </si>
  <si>
    <t xml:space="preserve">  FOREIGN ASSETS</t>
  </si>
  <si>
    <t xml:space="preserve">   Bonds &amp; Other Long Term Securities</t>
  </si>
  <si>
    <t xml:space="preserve">   Time Deposits &amp; Other Cash Resources</t>
  </si>
  <si>
    <t xml:space="preserve">  TOTAL FOREIGN ASSETS</t>
  </si>
  <si>
    <t xml:space="preserve">  LOCAL ASSETS</t>
  </si>
  <si>
    <t xml:space="preserve">    Government Obligations</t>
  </si>
  <si>
    <t xml:space="preserve">  </t>
  </si>
  <si>
    <t xml:space="preserve">      Holdings of GOJ Investment Debentures </t>
  </si>
  <si>
    <t xml:space="preserve">      Holdings of Other Marketable Securities</t>
  </si>
  <si>
    <t xml:space="preserve">    Advances to Financial Institutions </t>
  </si>
  <si>
    <t xml:space="preserve">    Items In The Process of Collection</t>
  </si>
  <si>
    <t xml:space="preserve">    Other Assets</t>
  </si>
  <si>
    <t xml:space="preserve">   TOTAL LOCAL ASSETS</t>
  </si>
  <si>
    <t>TOTAL ASSETS</t>
  </si>
  <si>
    <t>LIABILITIES, CAPITAL AND RESERVES</t>
  </si>
  <si>
    <t xml:space="preserve">  DEMAND LIABILITIES</t>
  </si>
  <si>
    <t xml:space="preserve">     Notes &amp; Coins in Circulation</t>
  </si>
  <si>
    <t xml:space="preserve">     Deposits</t>
  </si>
  <si>
    <t xml:space="preserve">       Public Sector</t>
  </si>
  <si>
    <t xml:space="preserve">       IMF(GOJ)</t>
  </si>
  <si>
    <t xml:space="preserve">       Commercial Banks and Other LFIs</t>
  </si>
  <si>
    <t xml:space="preserve">       Other</t>
  </si>
  <si>
    <t xml:space="preserve">     TOTAL DEMAND LIABILITIES</t>
  </si>
  <si>
    <t>OTHER LIABILITIES</t>
  </si>
  <si>
    <t xml:space="preserve">   Foreign Liabilities</t>
  </si>
  <si>
    <t xml:space="preserve">   Open Market Instruments</t>
  </si>
  <si>
    <t xml:space="preserve">   Other Liabilities</t>
  </si>
  <si>
    <t xml:space="preserve">   TOTAL OTHER LIABILITIES</t>
  </si>
  <si>
    <t>CAPITAL AND RESERVES</t>
  </si>
  <si>
    <t xml:space="preserve">   Capital authorised and paid up by</t>
  </si>
  <si>
    <t xml:space="preserve">   Government of Jamaica</t>
  </si>
  <si>
    <t xml:space="preserve">   General Reserve Fund</t>
  </si>
  <si>
    <t xml:space="preserve">   Contingency Reserves and Provisions</t>
  </si>
  <si>
    <t xml:space="preserve">   TOTAL CAPITAL &amp; RESERVES</t>
  </si>
  <si>
    <t>TOTAL LIABILITIES,CAPITAL &amp; RESERVES</t>
  </si>
  <si>
    <t xml:space="preserve">    IMF - Holding of Special Drawing Rights</t>
  </si>
  <si>
    <t xml:space="preserve">   IMF - Allocation of Special Drawing Rights</t>
  </si>
  <si>
    <t xml:space="preserve">      Holdings of GOJ Securities</t>
  </si>
  <si>
    <t xml:space="preserve">   congruent with Section 9 of the Bank of Jamaica Act, which provides that losses incurred by the Bank of Jamaica</t>
  </si>
  <si>
    <t xml:space="preserve">    Note</t>
  </si>
  <si>
    <r>
      <t xml:space="preserve">   are to be funded by the Government</t>
    </r>
    <r>
      <rPr>
        <b/>
        <sz val="12"/>
        <rFont val="Arial Unicode MS"/>
        <family val="2"/>
      </rPr>
      <t xml:space="preserve"> </t>
    </r>
    <r>
      <rPr>
        <sz val="12"/>
        <rFont val="Arial Unicode MS"/>
        <family val="2"/>
      </rPr>
      <t xml:space="preserve">and profits earned by the Bank are </t>
    </r>
    <r>
      <rPr>
        <b/>
        <sz val="12"/>
        <rFont val="Arial Unicode MS"/>
        <family val="2"/>
      </rPr>
      <t>due to the Government.</t>
    </r>
  </si>
  <si>
    <t xml:space="preserve">      Advances and Other GOJ Receivables </t>
  </si>
  <si>
    <r>
      <t xml:space="preserve">   Amounts Due to Government of Jamaica</t>
    </r>
    <r>
      <rPr>
        <b/>
        <sz val="12"/>
        <rFont val="Arial Unicode MS"/>
        <family val="2"/>
      </rPr>
      <t xml:space="preserve"> *</t>
    </r>
  </si>
  <si>
    <t>13 FEBRUARY</t>
  </si>
  <si>
    <t>As At 27 FEBRUARY 2013</t>
  </si>
  <si>
    <t>27 FEBRUARY</t>
  </si>
  <si>
    <t>14Feb13 - 27Feb13</t>
  </si>
  <si>
    <r>
      <t xml:space="preserve">* </t>
    </r>
    <r>
      <rPr>
        <sz val="12"/>
        <rFont val="Arial Unicode MS"/>
        <family val="2"/>
      </rPr>
      <t>The year to date profit of $2.31bn is included in</t>
    </r>
    <r>
      <rPr>
        <b/>
        <sz val="12"/>
        <rFont val="Arial Unicode MS"/>
        <family val="2"/>
      </rPr>
      <t xml:space="preserve"> Amounts due to Government</t>
    </r>
    <r>
      <rPr>
        <sz val="12"/>
        <rFont val="Arial Unicode MS"/>
        <family val="2"/>
      </rPr>
      <t xml:space="preserve">. This reporting format is </t>
    </r>
  </si>
  <si>
    <t>22 FEBRUARY</t>
  </si>
  <si>
    <t xml:space="preserve">   FRAN</t>
  </si>
  <si>
    <t>SCHEDULE II</t>
  </si>
  <si>
    <t>SUMMARY INCOME &amp; EXPENDITURE STATEMENT</t>
  </si>
  <si>
    <t>FOR PERIOD ENDED</t>
  </si>
  <si>
    <t>27 FEBRUARY 2013</t>
  </si>
  <si>
    <t>($mn)</t>
  </si>
  <si>
    <t xml:space="preserve">Schedule </t>
  </si>
  <si>
    <t>YEAR TO DATE COMPARISON</t>
  </si>
  <si>
    <t>Change                14Feb13-27Feb13</t>
  </si>
  <si>
    <t>INCOME</t>
  </si>
  <si>
    <t xml:space="preserve">    Income from Government Securities</t>
  </si>
  <si>
    <t xml:space="preserve">    Income from Foreign Assets</t>
  </si>
  <si>
    <t xml:space="preserve">    Interest on Overdrawn Accounts</t>
  </si>
  <si>
    <t xml:space="preserve">   Other  Receipts</t>
  </si>
  <si>
    <t>TOTAL INCOME</t>
  </si>
  <si>
    <t>III</t>
  </si>
  <si>
    <t>EXPENDITURE</t>
  </si>
  <si>
    <t xml:space="preserve">   Operational Expenses</t>
  </si>
  <si>
    <t xml:space="preserve">   Interest Expense on Customers' Balances</t>
  </si>
  <si>
    <t xml:space="preserve">   Foreign Interest Expense</t>
  </si>
  <si>
    <t xml:space="preserve">   Interest Expense on Open Market Instruments</t>
  </si>
  <si>
    <t>TOTAL  EXPENSES</t>
  </si>
  <si>
    <t>IV</t>
  </si>
  <si>
    <t>PROFIT/(LOSS) BEFORE EXCH. GAINS</t>
  </si>
  <si>
    <t>EXCHANGE GAINS/(LOSSES)</t>
  </si>
  <si>
    <t>PROFIT/(LOSS) BEFORE EXTRAORDINARY ITEMS</t>
  </si>
  <si>
    <t>EXTRAORDINARY EXPENSE</t>
  </si>
  <si>
    <t>NET PROFIT/(LOSS) AFTER EXTRAORDINARY ITEMS</t>
  </si>
  <si>
    <r>
      <t xml:space="preserve">   are to be </t>
    </r>
    <r>
      <rPr>
        <b/>
        <sz val="12"/>
        <rFont val="Arial Unicode MS"/>
        <family val="2"/>
      </rPr>
      <t xml:space="preserve">funded by the Government </t>
    </r>
    <r>
      <rPr>
        <sz val="12"/>
        <rFont val="Arial Unicode MS"/>
        <family val="2"/>
      </rPr>
      <t>and profits earned by the Bank are due to the Government</t>
    </r>
    <r>
      <rPr>
        <b/>
        <sz val="12"/>
        <rFont val="Arial Unicode MS"/>
        <family val="2"/>
      </rPr>
      <t>.</t>
    </r>
  </si>
  <si>
    <t>24 APRIL</t>
  </si>
  <si>
    <t>As At 08 MAY 2013</t>
  </si>
  <si>
    <t>09 MAY</t>
  </si>
  <si>
    <t>08 MAY</t>
  </si>
  <si>
    <t>News Release</t>
  </si>
  <si>
    <t>22 May 2013</t>
  </si>
  <si>
    <r>
      <t xml:space="preserve">* </t>
    </r>
    <r>
      <rPr>
        <sz val="12"/>
        <rFont val="Arial Unicode MS"/>
        <family val="2"/>
      </rPr>
      <t>The year-to-date loss of $15.66bn is included in</t>
    </r>
    <r>
      <rPr>
        <b/>
        <sz val="12"/>
        <rFont val="Arial Unicode MS"/>
        <family val="2"/>
      </rPr>
      <t xml:space="preserve"> Advance and Other GOJ Receivables</t>
    </r>
    <r>
      <rPr>
        <sz val="12"/>
        <rFont val="Arial Unicode MS"/>
        <family val="2"/>
      </rPr>
      <t xml:space="preserve">. This reporting format 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</si>
</sst>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23">
    <font>
      <sz val="12"/>
      <name val="Arial MT"/>
    </font>
    <font>
      <b/>
      <sz val="32"/>
      <color indexed="8"/>
      <name val="Arial MT"/>
    </font>
    <font>
      <sz val="12"/>
      <color indexed="8"/>
      <name val="Arial MT"/>
    </font>
    <font>
      <b/>
      <sz val="12"/>
      <color indexed="8"/>
      <name val="Arial MT"/>
    </font>
    <font>
      <b/>
      <sz val="14"/>
      <color indexed="12"/>
      <name val="Arial Unicode MS"/>
      <family val="2"/>
    </font>
    <font>
      <sz val="12"/>
      <color indexed="8"/>
      <name val="Arial Unicode MS"/>
      <family val="2"/>
    </font>
    <font>
      <sz val="12"/>
      <name val="Arial Unicode MS"/>
      <family val="2"/>
    </font>
    <font>
      <b/>
      <sz val="12"/>
      <color indexed="12"/>
      <name val="Arial Unicode MS"/>
      <family val="2"/>
    </font>
    <font>
      <b/>
      <i/>
      <sz val="12"/>
      <color indexed="14"/>
      <name val="Arial Unicode MS"/>
      <family val="2"/>
    </font>
    <font>
      <b/>
      <sz val="12"/>
      <name val="Arial Unicode MS"/>
      <family val="2"/>
    </font>
    <font>
      <b/>
      <sz val="12"/>
      <color indexed="8"/>
      <name val="Arial Unicode MS"/>
      <family val="2"/>
    </font>
    <font>
      <sz val="8"/>
      <color indexed="8"/>
      <name val="Arial Unicode MS"/>
      <family val="2"/>
    </font>
    <font>
      <b/>
      <sz val="11"/>
      <color indexed="8"/>
      <name val="Arial Unicode MS"/>
      <family val="2"/>
    </font>
    <font>
      <sz val="11"/>
      <name val="Arial Unicode MS"/>
      <family val="2"/>
    </font>
    <font>
      <b/>
      <sz val="12"/>
      <color indexed="8"/>
      <name val="Arial Narrow"/>
      <family val="2"/>
    </font>
    <font>
      <sz val="12"/>
      <color indexed="10"/>
      <name val="Arial Unicode MS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indexed="63"/>
      <name val="Arial Unicode MS"/>
      <family val="2"/>
    </font>
    <font>
      <sz val="12"/>
      <color indexed="63"/>
      <name val="Arial Unicode MS"/>
      <family val="2"/>
    </font>
    <font>
      <b/>
      <sz val="12"/>
      <color indexed="63"/>
      <name val="Arial Unicode MS"/>
      <family val="2"/>
    </font>
    <font>
      <b/>
      <u/>
      <sz val="12"/>
      <color indexed="63"/>
      <name val="Arial Unicode MS"/>
      <family val="2"/>
    </font>
    <font>
      <b/>
      <sz val="14"/>
      <color indexed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1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8"/>
      </patternFill>
    </fill>
    <fill>
      <patternFill patternType="solid">
        <fgColor theme="4" tint="0.79998168889431442"/>
        <bgColor indexed="8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37" fontId="0" fillId="2" borderId="0"/>
  </cellStyleXfs>
  <cellXfs count="147">
    <xf numFmtId="37" fontId="0" fillId="2" borderId="0" xfId="0" applyNumberFormat="1" applyFill="1"/>
    <xf numFmtId="37" fontId="0" fillId="2" borderId="1" xfId="0" applyNumberFormat="1" applyFill="1" applyBorder="1"/>
    <xf numFmtId="37" fontId="0" fillId="2" borderId="2" xfId="0" applyNumberFormat="1" applyFill="1" applyBorder="1"/>
    <xf numFmtId="37" fontId="0" fillId="2" borderId="4" xfId="0" applyNumberFormat="1" applyFill="1" applyBorder="1"/>
    <xf numFmtId="37" fontId="0" fillId="2" borderId="0" xfId="0" applyNumberFormat="1" applyFill="1" applyBorder="1"/>
    <xf numFmtId="37" fontId="1" fillId="2" borderId="4" xfId="0" applyNumberFormat="1" applyFont="1" applyFill="1" applyBorder="1" applyAlignment="1">
      <alignment horizontal="centerContinuous" vertical="center"/>
    </xf>
    <xf numFmtId="37" fontId="2" fillId="2" borderId="5" xfId="0" applyNumberFormat="1" applyFont="1" applyFill="1" applyBorder="1" applyAlignment="1">
      <alignment horizontal="centerContinuous" vertical="center"/>
    </xf>
    <xf numFmtId="37" fontId="2" fillId="2" borderId="0" xfId="0" applyNumberFormat="1" applyFont="1" applyFill="1" applyBorder="1" applyAlignment="1">
      <alignment horizontal="centerContinuous" vertical="center"/>
    </xf>
    <xf numFmtId="37" fontId="0" fillId="2" borderId="6" xfId="0" applyNumberFormat="1" applyFill="1" applyBorder="1"/>
    <xf numFmtId="37" fontId="3" fillId="2" borderId="7" xfId="0" applyNumberFormat="1" applyFont="1" applyFill="1" applyBorder="1" applyAlignment="1">
      <alignment horizontal="center"/>
    </xf>
    <xf numFmtId="37" fontId="0" fillId="2" borderId="7" xfId="0" applyNumberFormat="1" applyFill="1" applyBorder="1"/>
    <xf numFmtId="37" fontId="4" fillId="2" borderId="1" xfId="0" applyNumberFormat="1" applyFont="1" applyFill="1" applyBorder="1" applyAlignment="1">
      <alignment horizontal="centerContinuous"/>
    </xf>
    <xf numFmtId="37" fontId="5" fillId="2" borderId="3" xfId="0" applyNumberFormat="1" applyFont="1" applyFill="1" applyBorder="1" applyAlignment="1">
      <alignment horizontal="centerContinuous"/>
    </xf>
    <xf numFmtId="37" fontId="5" fillId="2" borderId="2" xfId="0" applyNumberFormat="1" applyFont="1" applyFill="1" applyBorder="1" applyAlignment="1">
      <alignment horizontal="centerContinuous"/>
    </xf>
    <xf numFmtId="37" fontId="6" fillId="2" borderId="0" xfId="0" applyNumberFormat="1" applyFont="1" applyFill="1"/>
    <xf numFmtId="37" fontId="4" fillId="2" borderId="4" xfId="0" applyNumberFormat="1" applyFont="1" applyFill="1" applyBorder="1" applyAlignment="1">
      <alignment horizontal="centerContinuous"/>
    </xf>
    <xf numFmtId="37" fontId="5" fillId="2" borderId="5" xfId="0" applyNumberFormat="1" applyFont="1" applyFill="1" applyBorder="1" applyAlignment="1">
      <alignment horizontal="centerContinuous"/>
    </xf>
    <xf numFmtId="37" fontId="5" fillId="2" borderId="0" xfId="0" applyNumberFormat="1" applyFont="1" applyFill="1" applyBorder="1" applyAlignment="1">
      <alignment horizontal="centerContinuous"/>
    </xf>
    <xf numFmtId="37" fontId="6" fillId="2" borderId="6" xfId="0" applyNumberFormat="1" applyFont="1" applyFill="1" applyBorder="1"/>
    <xf numFmtId="37" fontId="6" fillId="2" borderId="7" xfId="0" applyNumberFormat="1" applyFont="1" applyFill="1" applyBorder="1"/>
    <xf numFmtId="37" fontId="6" fillId="2" borderId="8" xfId="0" applyNumberFormat="1" applyFont="1" applyFill="1" applyBorder="1"/>
    <xf numFmtId="37" fontId="6" fillId="2" borderId="4" xfId="0" applyNumberFormat="1" applyFont="1" applyFill="1" applyBorder="1"/>
    <xf numFmtId="37" fontId="7" fillId="2" borderId="2" xfId="0" applyNumberFormat="1" applyFont="1" applyFill="1" applyBorder="1" applyAlignment="1">
      <alignment horizontal="center"/>
    </xf>
    <xf numFmtId="37" fontId="7" fillId="2" borderId="0" xfId="0" applyNumberFormat="1" applyFont="1" applyFill="1" applyBorder="1" applyAlignment="1">
      <alignment horizontal="center"/>
    </xf>
    <xf numFmtId="37" fontId="7" fillId="2" borderId="0" xfId="0" applyNumberFormat="1" applyFont="1" applyFill="1" applyBorder="1"/>
    <xf numFmtId="37" fontId="8" fillId="2" borderId="4" xfId="0" applyNumberFormat="1" applyFont="1" applyFill="1" applyBorder="1"/>
    <xf numFmtId="37" fontId="6" fillId="2" borderId="0" xfId="0" applyNumberFormat="1" applyFont="1" applyFill="1" applyBorder="1"/>
    <xf numFmtId="37" fontId="7" fillId="2" borderId="4" xfId="0" applyNumberFormat="1" applyFont="1" applyFill="1" applyBorder="1"/>
    <xf numFmtId="37" fontId="6" fillId="2" borderId="0" xfId="0" applyNumberFormat="1" applyFont="1" applyFill="1" applyBorder="1" applyProtection="1">
      <protection hidden="1"/>
    </xf>
    <xf numFmtId="37" fontId="9" fillId="2" borderId="0" xfId="0" applyNumberFormat="1" applyFont="1" applyFill="1" applyBorder="1" applyProtection="1">
      <protection hidden="1"/>
    </xf>
    <xf numFmtId="37" fontId="5" fillId="2" borderId="0" xfId="0" applyNumberFormat="1" applyFont="1" applyFill="1" applyBorder="1" applyAlignment="1" applyProtection="1">
      <alignment horizontal="right"/>
      <protection hidden="1"/>
    </xf>
    <xf numFmtId="37" fontId="10" fillId="2" borderId="0" xfId="0" applyNumberFormat="1" applyFont="1" applyFill="1" applyBorder="1" applyAlignment="1" applyProtection="1">
      <alignment horizontal="right"/>
      <protection hidden="1"/>
    </xf>
    <xf numFmtId="37" fontId="10" fillId="2" borderId="0" xfId="0" applyNumberFormat="1" applyFont="1" applyFill="1" applyBorder="1" applyProtection="1">
      <protection hidden="1"/>
    </xf>
    <xf numFmtId="37" fontId="11" fillId="2" borderId="4" xfId="0" applyNumberFormat="1" applyFont="1" applyFill="1" applyBorder="1"/>
    <xf numFmtId="37" fontId="8" fillId="2" borderId="12" xfId="0" applyNumberFormat="1" applyFont="1" applyFill="1" applyBorder="1"/>
    <xf numFmtId="37" fontId="10" fillId="2" borderId="13" xfId="0" applyNumberFormat="1" applyFont="1" applyFill="1" applyBorder="1" applyProtection="1">
      <protection hidden="1"/>
    </xf>
    <xf numFmtId="37" fontId="10" fillId="2" borderId="14" xfId="0" applyNumberFormat="1" applyFont="1" applyFill="1" applyBorder="1" applyProtection="1">
      <protection hidden="1"/>
    </xf>
    <xf numFmtId="37" fontId="6" fillId="2" borderId="16" xfId="0" applyNumberFormat="1" applyFont="1" applyFill="1" applyBorder="1"/>
    <xf numFmtId="37" fontId="6" fillId="2" borderId="17" xfId="0" applyNumberFormat="1" applyFont="1" applyFill="1" applyBorder="1"/>
    <xf numFmtId="37" fontId="5" fillId="2" borderId="7" xfId="0" applyNumberFormat="1" applyFont="1" applyFill="1" applyBorder="1" applyAlignment="1">
      <alignment horizontal="centerContinuous"/>
    </xf>
    <xf numFmtId="37" fontId="13" fillId="2" borderId="0" xfId="0" applyNumberFormat="1" applyFont="1" applyFill="1" applyBorder="1"/>
    <xf numFmtId="37" fontId="12" fillId="2" borderId="0" xfId="0" applyNumberFormat="1" applyFont="1" applyFill="1" applyBorder="1"/>
    <xf numFmtId="37" fontId="13" fillId="2" borderId="5" xfId="0" applyNumberFormat="1" applyFont="1" applyFill="1" applyBorder="1"/>
    <xf numFmtId="37" fontId="6" fillId="2" borderId="5" xfId="0" applyNumberFormat="1" applyFont="1" applyFill="1" applyBorder="1"/>
    <xf numFmtId="37" fontId="13" fillId="2" borderId="7" xfId="0" applyNumberFormat="1" applyFont="1" applyFill="1" applyBorder="1"/>
    <xf numFmtId="37" fontId="13" fillId="2" borderId="8" xfId="0" applyNumberFormat="1" applyFont="1" applyFill="1" applyBorder="1"/>
    <xf numFmtId="37" fontId="10" fillId="3" borderId="16" xfId="0" applyNumberFormat="1" applyFont="1" applyFill="1" applyBorder="1" applyProtection="1">
      <protection hidden="1"/>
    </xf>
    <xf numFmtId="49" fontId="9" fillId="2" borderId="0" xfId="0" applyNumberFormat="1" applyFont="1" applyFill="1" applyBorder="1" applyAlignment="1" applyProtection="1">
      <alignment horizontal="center"/>
      <protection hidden="1"/>
    </xf>
    <xf numFmtId="37" fontId="9" fillId="2" borderId="4" xfId="0" applyNumberFormat="1" applyFont="1" applyFill="1" applyBorder="1"/>
    <xf numFmtId="37" fontId="14" fillId="2" borderId="1" xfId="0" applyNumberFormat="1" applyFont="1" applyFill="1" applyBorder="1"/>
    <xf numFmtId="37" fontId="10" fillId="2" borderId="0" xfId="0" applyNumberFormat="1" applyFont="1" applyFill="1" applyBorder="1"/>
    <xf numFmtId="37" fontId="6" fillId="2" borderId="2" xfId="0" applyNumberFormat="1" applyFont="1" applyFill="1" applyBorder="1"/>
    <xf numFmtId="37" fontId="6" fillId="2" borderId="3" xfId="0" applyNumberFormat="1" applyFont="1" applyFill="1" applyBorder="1"/>
    <xf numFmtId="0" fontId="7" fillId="4" borderId="19" xfId="0" applyNumberFormat="1" applyFont="1" applyFill="1" applyBorder="1" applyAlignment="1">
      <alignment horizontal="center"/>
    </xf>
    <xf numFmtId="16" fontId="7" fillId="4" borderId="19" xfId="0" quotePrefix="1" applyNumberFormat="1" applyFont="1" applyFill="1" applyBorder="1" applyAlignment="1">
      <alignment horizontal="center"/>
    </xf>
    <xf numFmtId="37" fontId="7" fillId="4" borderId="19" xfId="0" applyNumberFormat="1" applyFont="1" applyFill="1" applyBorder="1" applyAlignment="1">
      <alignment horizontal="center"/>
    </xf>
    <xf numFmtId="37" fontId="6" fillId="4" borderId="19" xfId="0" applyNumberFormat="1" applyFont="1" applyFill="1" applyBorder="1"/>
    <xf numFmtId="37" fontId="6" fillId="4" borderId="19" xfId="0" applyNumberFormat="1" applyFont="1" applyFill="1" applyBorder="1" applyProtection="1">
      <protection hidden="1"/>
    </xf>
    <xf numFmtId="37" fontId="9" fillId="4" borderId="20" xfId="0" applyNumberFormat="1" applyFont="1" applyFill="1" applyBorder="1" applyProtection="1">
      <protection hidden="1"/>
    </xf>
    <xf numFmtId="38" fontId="6" fillId="4" borderId="19" xfId="0" applyNumberFormat="1" applyFont="1" applyFill="1" applyBorder="1" applyProtection="1">
      <protection hidden="1"/>
    </xf>
    <xf numFmtId="37" fontId="6" fillId="4" borderId="21" xfId="0" applyNumberFormat="1" applyFont="1" applyFill="1" applyBorder="1" applyProtection="1">
      <protection hidden="1"/>
    </xf>
    <xf numFmtId="37" fontId="10" fillId="4" borderId="22" xfId="0" applyNumberFormat="1" applyFont="1" applyFill="1" applyBorder="1" applyProtection="1">
      <protection hidden="1"/>
    </xf>
    <xf numFmtId="37" fontId="10" fillId="4" borderId="23" xfId="0" applyNumberFormat="1" applyFont="1" applyFill="1" applyBorder="1" applyProtection="1">
      <protection hidden="1"/>
    </xf>
    <xf numFmtId="39" fontId="6" fillId="4" borderId="19" xfId="0" applyNumberFormat="1" applyFont="1" applyFill="1" applyBorder="1" applyProtection="1">
      <protection hidden="1"/>
    </xf>
    <xf numFmtId="37" fontId="10" fillId="4" borderId="19" xfId="0" applyNumberFormat="1" applyFont="1" applyFill="1" applyBorder="1" applyProtection="1">
      <protection hidden="1"/>
    </xf>
    <xf numFmtId="37" fontId="10" fillId="4" borderId="24" xfId="0" applyNumberFormat="1" applyFont="1" applyFill="1" applyBorder="1" applyProtection="1">
      <protection hidden="1"/>
    </xf>
    <xf numFmtId="0" fontId="7" fillId="5" borderId="19" xfId="0" applyNumberFormat="1" applyFont="1" applyFill="1" applyBorder="1" applyAlignment="1">
      <alignment horizontal="center"/>
    </xf>
    <xf numFmtId="16" fontId="7" fillId="5" borderId="19" xfId="0" quotePrefix="1" applyNumberFormat="1" applyFont="1" applyFill="1" applyBorder="1" applyAlignment="1">
      <alignment horizontal="center"/>
    </xf>
    <xf numFmtId="37" fontId="7" fillId="5" borderId="19" xfId="0" applyNumberFormat="1" applyFont="1" applyFill="1" applyBorder="1" applyAlignment="1">
      <alignment horizontal="center"/>
    </xf>
    <xf numFmtId="37" fontId="6" fillId="5" borderId="19" xfId="0" applyNumberFormat="1" applyFont="1" applyFill="1" applyBorder="1"/>
    <xf numFmtId="37" fontId="6" fillId="5" borderId="19" xfId="0" applyNumberFormat="1" applyFont="1" applyFill="1" applyBorder="1" applyProtection="1">
      <protection hidden="1"/>
    </xf>
    <xf numFmtId="37" fontId="9" fillId="5" borderId="20" xfId="0" applyNumberFormat="1" applyFont="1" applyFill="1" applyBorder="1" applyProtection="1">
      <protection hidden="1"/>
    </xf>
    <xf numFmtId="38" fontId="6" fillId="5" borderId="19" xfId="0" applyNumberFormat="1" applyFont="1" applyFill="1" applyBorder="1" applyProtection="1">
      <protection hidden="1"/>
    </xf>
    <xf numFmtId="37" fontId="6" fillId="5" borderId="21" xfId="0" applyNumberFormat="1" applyFont="1" applyFill="1" applyBorder="1" applyProtection="1">
      <protection hidden="1"/>
    </xf>
    <xf numFmtId="37" fontId="10" fillId="5" borderId="22" xfId="0" applyNumberFormat="1" applyFont="1" applyFill="1" applyBorder="1" applyProtection="1">
      <protection hidden="1"/>
    </xf>
    <xf numFmtId="37" fontId="10" fillId="5" borderId="23" xfId="0" applyNumberFormat="1" applyFont="1" applyFill="1" applyBorder="1" applyProtection="1">
      <protection hidden="1"/>
    </xf>
    <xf numFmtId="39" fontId="6" fillId="5" borderId="19" xfId="0" applyNumberFormat="1" applyFont="1" applyFill="1" applyBorder="1" applyProtection="1">
      <protection hidden="1"/>
    </xf>
    <xf numFmtId="37" fontId="10" fillId="5" borderId="19" xfId="0" applyNumberFormat="1" applyFont="1" applyFill="1" applyBorder="1" applyProtection="1">
      <protection hidden="1"/>
    </xf>
    <xf numFmtId="37" fontId="10" fillId="5" borderId="24" xfId="0" applyNumberFormat="1" applyFont="1" applyFill="1" applyBorder="1" applyProtection="1">
      <protection hidden="1"/>
    </xf>
    <xf numFmtId="39" fontId="6" fillId="2" borderId="0" xfId="0" applyNumberFormat="1" applyFont="1" applyFill="1"/>
    <xf numFmtId="37" fontId="6" fillId="2" borderId="5" xfId="0" applyNumberFormat="1" applyFont="1" applyFill="1" applyBorder="1" applyAlignment="1">
      <alignment horizontal="center"/>
    </xf>
    <xf numFmtId="37" fontId="6" fillId="0" borderId="0" xfId="0" applyNumberFormat="1" applyFont="1" applyFill="1"/>
    <xf numFmtId="37" fontId="6" fillId="3" borderId="0" xfId="0" applyNumberFormat="1" applyFont="1" applyFill="1"/>
    <xf numFmtId="37" fontId="15" fillId="2" borderId="0" xfId="0" applyNumberFormat="1" applyFont="1" applyFill="1"/>
    <xf numFmtId="37" fontId="13" fillId="2" borderId="5" xfId="0" applyNumberFormat="1" applyFont="1" applyFill="1" applyBorder="1" applyAlignment="1">
      <alignment horizontal="center"/>
    </xf>
    <xf numFmtId="37" fontId="9" fillId="3" borderId="18" xfId="0" applyNumberFormat="1" applyFont="1" applyFill="1" applyBorder="1"/>
    <xf numFmtId="37" fontId="10" fillId="2" borderId="9" xfId="0" applyNumberFormat="1" applyFont="1" applyFill="1" applyBorder="1"/>
    <xf numFmtId="37" fontId="10" fillId="2" borderId="10" xfId="0" applyNumberFormat="1" applyFont="1" applyFill="1" applyBorder="1"/>
    <xf numFmtId="37" fontId="6" fillId="2" borderId="11" xfId="0" applyNumberFormat="1" applyFont="1" applyFill="1" applyBorder="1"/>
    <xf numFmtId="37" fontId="10" fillId="2" borderId="11" xfId="0" applyNumberFormat="1" applyFont="1" applyFill="1" applyBorder="1"/>
    <xf numFmtId="37" fontId="6" fillId="2" borderId="5" xfId="0" applyNumberFormat="1" applyFont="1" applyFill="1" applyBorder="1" applyAlignment="1">
      <alignment horizontal="right"/>
    </xf>
    <xf numFmtId="37" fontId="10" fillId="2" borderId="15" xfId="0" applyNumberFormat="1" applyFont="1" applyFill="1" applyBorder="1"/>
    <xf numFmtId="37" fontId="6" fillId="2" borderId="12" xfId="0" applyNumberFormat="1" applyFont="1" applyFill="1" applyBorder="1"/>
    <xf numFmtId="39" fontId="0" fillId="2" borderId="0" xfId="0" applyNumberFormat="1" applyFill="1" applyBorder="1" applyAlignment="1"/>
    <xf numFmtId="39" fontId="17" fillId="2" borderId="25" xfId="0" applyNumberFormat="1" applyFont="1" applyFill="1" applyBorder="1" applyAlignment="1"/>
    <xf numFmtId="37" fontId="17" fillId="2" borderId="25" xfId="0" applyNumberFormat="1" applyFont="1" applyFill="1" applyBorder="1" applyAlignment="1">
      <alignment horizontal="center"/>
    </xf>
    <xf numFmtId="39" fontId="20" fillId="2" borderId="33" xfId="0" quotePrefix="1" applyNumberFormat="1" applyFont="1" applyFill="1" applyBorder="1" applyAlignment="1">
      <alignment horizontal="centerContinuous" vertical="top"/>
    </xf>
    <xf numFmtId="37" fontId="20" fillId="2" borderId="33" xfId="0" applyNumberFormat="1" applyFont="1" applyFill="1" applyBorder="1" applyAlignment="1">
      <alignment horizontal="centerContinuous" vertical="top"/>
    </xf>
    <xf numFmtId="39" fontId="19" fillId="6" borderId="29" xfId="0" applyNumberFormat="1" applyFont="1" applyFill="1" applyBorder="1"/>
    <xf numFmtId="37" fontId="20" fillId="2" borderId="36" xfId="0" applyNumberFormat="1" applyFont="1" applyFill="1" applyBorder="1" applyAlignment="1">
      <alignment horizontal="center"/>
    </xf>
    <xf numFmtId="164" fontId="20" fillId="6" borderId="37" xfId="0" applyNumberFormat="1" applyFont="1" applyFill="1" applyBorder="1" applyAlignment="1">
      <alignment horizontal="center"/>
    </xf>
    <xf numFmtId="39" fontId="20" fillId="2" borderId="38" xfId="0" applyNumberFormat="1" applyFont="1" applyFill="1" applyBorder="1" applyAlignment="1">
      <alignment horizontal="center" wrapText="1"/>
    </xf>
    <xf numFmtId="37" fontId="19" fillId="6" borderId="36" xfId="0" applyNumberFormat="1" applyFont="1" applyFill="1" applyBorder="1" applyAlignment="1">
      <alignment horizontal="center"/>
    </xf>
    <xf numFmtId="39" fontId="20" fillId="6" borderId="39" xfId="0" applyNumberFormat="1" applyFont="1" applyFill="1" applyBorder="1" applyAlignment="1">
      <alignment horizontal="center"/>
    </xf>
    <xf numFmtId="39" fontId="19" fillId="2" borderId="30" xfId="0" applyNumberFormat="1" applyFont="1" applyFill="1" applyBorder="1"/>
    <xf numFmtId="39" fontId="20" fillId="6" borderId="29" xfId="0" applyNumberFormat="1" applyFont="1" applyFill="1" applyBorder="1"/>
    <xf numFmtId="37" fontId="20" fillId="6" borderId="36" xfId="0" applyNumberFormat="1" applyFont="1" applyFill="1" applyBorder="1" applyAlignment="1">
      <alignment horizontal="center"/>
    </xf>
    <xf numFmtId="39" fontId="6" fillId="2" borderId="30" xfId="0" applyNumberFormat="1" applyFont="1" applyFill="1" applyBorder="1"/>
    <xf numFmtId="37" fontId="6" fillId="6" borderId="36" xfId="0" applyNumberFormat="1" applyFont="1" applyFill="1" applyBorder="1" applyAlignment="1">
      <alignment horizontal="center"/>
    </xf>
    <xf numFmtId="39" fontId="5" fillId="3" borderId="39" xfId="0" applyNumberFormat="1" applyFont="1" applyFill="1" applyBorder="1" applyAlignment="1">
      <alignment horizontal="right"/>
    </xf>
    <xf numFmtId="39" fontId="19" fillId="7" borderId="29" xfId="0" applyNumberFormat="1" applyFont="1" applyFill="1" applyBorder="1"/>
    <xf numFmtId="37" fontId="7" fillId="7" borderId="36" xfId="0" applyNumberFormat="1" applyFont="1" applyFill="1" applyBorder="1" applyAlignment="1">
      <alignment horizontal="center"/>
    </xf>
    <xf numFmtId="39" fontId="5" fillId="3" borderId="39" xfId="0" applyNumberFormat="1" applyFont="1" applyFill="1" applyBorder="1"/>
    <xf numFmtId="37" fontId="7" fillId="6" borderId="36" xfId="0" applyNumberFormat="1" applyFont="1" applyFill="1" applyBorder="1" applyAlignment="1">
      <alignment horizontal="center"/>
    </xf>
    <xf numFmtId="39" fontId="10" fillId="3" borderId="39" xfId="0" applyNumberFormat="1" applyFont="1" applyFill="1" applyBorder="1"/>
    <xf numFmtId="39" fontId="9" fillId="2" borderId="30" xfId="0" applyNumberFormat="1" applyFont="1" applyFill="1" applyBorder="1"/>
    <xf numFmtId="39" fontId="10" fillId="3" borderId="39" xfId="0" applyNumberFormat="1" applyFont="1" applyFill="1" applyBorder="1" applyAlignment="1">
      <alignment horizontal="right"/>
    </xf>
    <xf numFmtId="39" fontId="20" fillId="8" borderId="40" xfId="0" applyNumberFormat="1" applyFont="1" applyFill="1" applyBorder="1"/>
    <xf numFmtId="37" fontId="7" fillId="8" borderId="41" xfId="0" applyNumberFormat="1" applyFont="1" applyFill="1" applyBorder="1" applyAlignment="1">
      <alignment horizontal="center"/>
    </xf>
    <xf numFmtId="39" fontId="10" fillId="8" borderId="42" xfId="0" applyNumberFormat="1" applyFont="1" applyFill="1" applyBorder="1"/>
    <xf numFmtId="39" fontId="21" fillId="6" borderId="29" xfId="0" applyNumberFormat="1" applyFont="1" applyFill="1" applyBorder="1" applyAlignment="1">
      <alignment horizontal="center"/>
    </xf>
    <xf numFmtId="37" fontId="10" fillId="3" borderId="39" xfId="0" applyFont="1" applyFill="1" applyBorder="1" applyAlignment="1">
      <alignment horizontal="right"/>
    </xf>
    <xf numFmtId="39" fontId="20" fillId="8" borderId="41" xfId="0" applyNumberFormat="1" applyFont="1" applyFill="1" applyBorder="1"/>
    <xf numFmtId="37" fontId="7" fillId="9" borderId="41" xfId="0" applyNumberFormat="1" applyFont="1" applyFill="1" applyBorder="1" applyAlignment="1">
      <alignment horizontal="center"/>
    </xf>
    <xf numFmtId="37" fontId="10" fillId="8" borderId="41" xfId="0" applyFont="1" applyFill="1" applyBorder="1"/>
    <xf numFmtId="39" fontId="9" fillId="10" borderId="41" xfId="0" applyNumberFormat="1" applyFont="1" applyFill="1" applyBorder="1"/>
    <xf numFmtId="39" fontId="20" fillId="8" borderId="43" xfId="0" applyNumberFormat="1" applyFont="1" applyFill="1" applyBorder="1"/>
    <xf numFmtId="37" fontId="7" fillId="8" borderId="44" xfId="0" applyNumberFormat="1" applyFont="1" applyFill="1" applyBorder="1" applyAlignment="1">
      <alignment horizontal="center"/>
    </xf>
    <xf numFmtId="39" fontId="10" fillId="8" borderId="45" xfId="0" applyNumberFormat="1" applyFont="1" applyFill="1" applyBorder="1"/>
    <xf numFmtId="37" fontId="20" fillId="11" borderId="34" xfId="0" applyNumberFormat="1" applyFont="1" applyFill="1" applyBorder="1" applyAlignment="1">
      <alignment horizontal="center" vertical="top"/>
    </xf>
    <xf numFmtId="37" fontId="20" fillId="11" borderId="35" xfId="0" applyNumberFormat="1" applyFont="1" applyFill="1" applyBorder="1" applyAlignment="1">
      <alignment horizontal="center" vertical="top"/>
    </xf>
    <xf numFmtId="39" fontId="4" fillId="11" borderId="26" xfId="0" applyNumberFormat="1" applyFont="1" applyFill="1" applyBorder="1" applyAlignment="1">
      <alignment horizontal="centerContinuous" vertical="top"/>
    </xf>
    <xf numFmtId="37" fontId="18" fillId="11" borderId="27" xfId="0" applyNumberFormat="1" applyFont="1" applyFill="1" applyBorder="1" applyAlignment="1">
      <alignment horizontal="centerContinuous" vertical="top"/>
    </xf>
    <xf numFmtId="39" fontId="18" fillId="11" borderId="28" xfId="0" applyNumberFormat="1" applyFont="1" applyFill="1" applyBorder="1" applyAlignment="1">
      <alignment horizontal="centerContinuous" vertical="top"/>
    </xf>
    <xf numFmtId="39" fontId="19" fillId="11" borderId="28" xfId="0" applyNumberFormat="1" applyFont="1" applyFill="1" applyBorder="1" applyAlignment="1">
      <alignment horizontal="centerContinuous" vertical="top"/>
    </xf>
    <xf numFmtId="39" fontId="7" fillId="11" borderId="29" xfId="0" applyNumberFormat="1" applyFont="1" applyFill="1" applyBorder="1" applyAlignment="1">
      <alignment horizontal="centerContinuous" vertical="top"/>
    </xf>
    <xf numFmtId="37" fontId="18" fillId="11" borderId="0" xfId="0" applyNumberFormat="1" applyFont="1" applyFill="1" applyBorder="1" applyAlignment="1">
      <alignment horizontal="centerContinuous" vertical="top"/>
    </xf>
    <xf numFmtId="39" fontId="18" fillId="11" borderId="30" xfId="0" applyNumberFormat="1" applyFont="1" applyFill="1" applyBorder="1" applyAlignment="1">
      <alignment horizontal="centerContinuous" vertical="top"/>
    </xf>
    <xf numFmtId="39" fontId="7" fillId="11" borderId="29" xfId="0" quotePrefix="1" applyNumberFormat="1" applyFont="1" applyFill="1" applyBorder="1" applyAlignment="1">
      <alignment horizontal="centerContinuous" vertical="top"/>
    </xf>
    <xf numFmtId="39" fontId="7" fillId="11" borderId="31" xfId="0" applyNumberFormat="1" applyFont="1" applyFill="1" applyBorder="1" applyAlignment="1">
      <alignment horizontal="centerContinuous" vertical="top"/>
    </xf>
    <xf numFmtId="37" fontId="19" fillId="11" borderId="25" xfId="0" applyNumberFormat="1" applyFont="1" applyFill="1" applyBorder="1" applyAlignment="1">
      <alignment horizontal="centerContinuous" vertical="top"/>
    </xf>
    <xf numFmtId="39" fontId="19" fillId="11" borderId="25" xfId="0" applyNumberFormat="1" applyFont="1" applyFill="1" applyBorder="1" applyAlignment="1">
      <alignment horizontal="centerContinuous" vertical="top"/>
    </xf>
    <xf numFmtId="39" fontId="19" fillId="11" borderId="32" xfId="0" applyNumberFormat="1" applyFont="1" applyFill="1" applyBorder="1" applyAlignment="1">
      <alignment horizontal="centerContinuous" vertical="top"/>
    </xf>
    <xf numFmtId="39" fontId="16" fillId="2" borderId="0" xfId="0" applyNumberFormat="1" applyFont="1" applyFill="1" applyBorder="1" applyAlignment="1">
      <alignment horizontal="center"/>
    </xf>
    <xf numFmtId="39" fontId="16" fillId="2" borderId="0" xfId="0" applyNumberFormat="1" applyFont="1" applyFill="1" applyAlignment="1">
      <alignment horizontal="center"/>
    </xf>
    <xf numFmtId="37" fontId="22" fillId="2" borderId="0" xfId="0" applyNumberFormat="1" applyFont="1" applyFill="1" applyBorder="1"/>
    <xf numFmtId="49" fontId="2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1209675</xdr:colOff>
      <xdr:row>3</xdr:row>
      <xdr:rowOff>200025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220075" cy="847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1085850</xdr:colOff>
      <xdr:row>8</xdr:row>
      <xdr:rowOff>2400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438150"/>
          <a:ext cx="1085850" cy="1316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1</xdr:col>
      <xdr:colOff>1006475</xdr:colOff>
      <xdr:row>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431800"/>
          <a:ext cx="1006475" cy="12954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T%20&amp;%20LOSS\Profit%20&amp;%20Loss%202013\P&amp;L%2002%20February%2027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27-FEB-2013"/>
      <sheetName val="INCOME"/>
      <sheetName val="EXPENSES"/>
    </sheetNames>
    <sheetDataSet>
      <sheetData sheetId="0"/>
      <sheetData sheetId="1"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889.47</v>
          </cell>
        </row>
        <row r="22">
          <cell r="C22">
            <v>290.14999999999998</v>
          </cell>
        </row>
        <row r="23">
          <cell r="C23">
            <v>124.71</v>
          </cell>
        </row>
        <row r="24">
          <cell r="C24">
            <v>178.9</v>
          </cell>
        </row>
        <row r="25">
          <cell r="C25">
            <v>32.35</v>
          </cell>
        </row>
        <row r="28">
          <cell r="C28">
            <v>0</v>
          </cell>
        </row>
        <row r="29">
          <cell r="C29">
            <v>0.02</v>
          </cell>
        </row>
      </sheetData>
      <sheetData sheetId="2">
        <row r="23">
          <cell r="C23">
            <v>658.06000000000006</v>
          </cell>
        </row>
        <row r="28">
          <cell r="C28">
            <v>48.79</v>
          </cell>
        </row>
        <row r="29">
          <cell r="C29">
            <v>73.510000000000005</v>
          </cell>
        </row>
        <row r="30">
          <cell r="C30">
            <v>5.03</v>
          </cell>
        </row>
        <row r="31">
          <cell r="C31">
            <v>423.37</v>
          </cell>
        </row>
        <row r="35">
          <cell r="C35">
            <v>138.42000000000002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showOutlineSymbols="0" zoomScale="75" zoomScaleNormal="75" zoomScaleSheetLayoutView="75" workbookViewId="0">
      <selection activeCell="A68" sqref="A68"/>
    </sheetView>
  </sheetViews>
  <sheetFormatPr defaultColWidth="11.44140625" defaultRowHeight="17.25"/>
  <cols>
    <col min="1" max="1" width="43.44140625" customWidth="1"/>
    <col min="2" max="2" width="17.6640625" customWidth="1"/>
    <col min="3" max="3" width="1.77734375" customWidth="1"/>
    <col min="4" max="4" width="17.21875" customWidth="1"/>
    <col min="5" max="5" width="1.77734375" style="4" customWidth="1"/>
    <col min="6" max="6" width="16.88671875" customWidth="1"/>
    <col min="7" max="7" width="11.44140625" style="14"/>
  </cols>
  <sheetData>
    <row r="1" spans="1:6">
      <c r="A1" s="1"/>
      <c r="B1" s="2"/>
      <c r="C1" s="2"/>
      <c r="D1" s="2"/>
      <c r="E1" s="2"/>
      <c r="F1" s="2"/>
    </row>
    <row r="2" spans="1:6">
      <c r="A2" s="3"/>
      <c r="B2" s="4"/>
      <c r="C2" s="4"/>
      <c r="D2" s="4"/>
      <c r="F2" s="4"/>
    </row>
    <row r="3" spans="1:6">
      <c r="A3" s="3"/>
      <c r="B3" s="4"/>
      <c r="C3" s="4"/>
      <c r="D3" s="4"/>
      <c r="F3" s="4"/>
    </row>
    <row r="4" spans="1:6">
      <c r="A4" s="3"/>
      <c r="B4" s="4"/>
      <c r="C4" s="4"/>
      <c r="D4" s="4"/>
      <c r="F4" s="4"/>
    </row>
    <row r="5" spans="1:6" ht="18.75">
      <c r="A5" s="145" t="s">
        <v>89</v>
      </c>
      <c r="B5" s="4"/>
      <c r="C5" s="4"/>
      <c r="D5" s="4"/>
      <c r="F5" s="4"/>
    </row>
    <row r="6" spans="1:6" ht="18.75">
      <c r="A6" s="146" t="s">
        <v>90</v>
      </c>
      <c r="B6" s="4"/>
      <c r="C6" s="4"/>
      <c r="D6" s="4"/>
      <c r="F6" s="4"/>
    </row>
    <row r="7" spans="1:6">
      <c r="A7" s="3"/>
      <c r="B7" s="4"/>
      <c r="C7" s="4"/>
      <c r="D7" s="4"/>
      <c r="F7" s="4"/>
    </row>
    <row r="8" spans="1:6">
      <c r="A8" s="8"/>
      <c r="B8" s="9"/>
      <c r="C8" s="10"/>
      <c r="D8" s="9"/>
      <c r="E8" s="10"/>
      <c r="F8" s="9"/>
    </row>
    <row r="9" spans="1:6" s="14" customFormat="1" ht="20.25">
      <c r="A9" s="11" t="s">
        <v>1</v>
      </c>
      <c r="B9" s="12"/>
      <c r="C9" s="13"/>
      <c r="D9" s="12"/>
      <c r="E9" s="13"/>
      <c r="F9" s="12"/>
    </row>
    <row r="10" spans="1:6" s="14" customFormat="1" ht="20.25">
      <c r="A10" s="15" t="s">
        <v>2</v>
      </c>
      <c r="B10" s="16"/>
      <c r="C10" s="17"/>
      <c r="D10" s="16"/>
      <c r="E10" s="17"/>
      <c r="F10" s="16"/>
    </row>
    <row r="11" spans="1:6" s="14" customFormat="1" ht="20.25">
      <c r="A11" s="15" t="s">
        <v>86</v>
      </c>
      <c r="B11" s="16"/>
      <c r="C11" s="17"/>
      <c r="D11" s="16"/>
      <c r="E11" s="17"/>
      <c r="F11" s="16"/>
    </row>
    <row r="12" spans="1:6" s="14" customFormat="1">
      <c r="A12" s="18" t="s">
        <v>3</v>
      </c>
      <c r="B12" s="19"/>
      <c r="C12" s="19"/>
      <c r="D12" s="19"/>
      <c r="E12" s="19"/>
      <c r="F12" s="20"/>
    </row>
    <row r="13" spans="1:6" s="14" customFormat="1">
      <c r="A13" s="21"/>
      <c r="B13" s="66">
        <v>2012</v>
      </c>
      <c r="C13" s="22"/>
      <c r="D13" s="66">
        <v>2013</v>
      </c>
      <c r="E13" s="23"/>
      <c r="F13" s="66">
        <v>2013</v>
      </c>
    </row>
    <row r="14" spans="1:6" s="14" customFormat="1">
      <c r="A14" s="21"/>
      <c r="B14" s="67" t="s">
        <v>87</v>
      </c>
      <c r="C14" s="24"/>
      <c r="D14" s="67" t="s">
        <v>85</v>
      </c>
      <c r="E14" s="24"/>
      <c r="F14" s="67" t="s">
        <v>88</v>
      </c>
    </row>
    <row r="15" spans="1:6" s="14" customFormat="1">
      <c r="A15" s="21"/>
      <c r="B15" s="68" t="s">
        <v>5</v>
      </c>
      <c r="C15" s="24"/>
      <c r="D15" s="68" t="s">
        <v>5</v>
      </c>
      <c r="E15" s="24"/>
      <c r="F15" s="68" t="s">
        <v>5</v>
      </c>
    </row>
    <row r="16" spans="1:6" s="14" customFormat="1">
      <c r="A16" s="25" t="s">
        <v>6</v>
      </c>
      <c r="B16" s="69"/>
      <c r="C16" s="26"/>
      <c r="D16" s="69"/>
      <c r="E16" s="26"/>
      <c r="F16" s="69"/>
    </row>
    <row r="17" spans="1:6" s="14" customFormat="1">
      <c r="A17" s="27" t="s">
        <v>7</v>
      </c>
      <c r="B17" s="69"/>
      <c r="C17" s="26"/>
      <c r="D17" s="69"/>
      <c r="E17" s="26"/>
      <c r="F17" s="69"/>
    </row>
    <row r="18" spans="1:6" s="14" customFormat="1">
      <c r="A18" s="21" t="s">
        <v>8</v>
      </c>
      <c r="B18" s="70">
        <f>45969018-28825</f>
        <v>45940193</v>
      </c>
      <c r="C18" s="28"/>
      <c r="D18" s="70">
        <f>38415269-9975</f>
        <v>38405294</v>
      </c>
      <c r="E18" s="28"/>
      <c r="F18" s="70">
        <f>38836561-15150</f>
        <v>38821411</v>
      </c>
    </row>
    <row r="19" spans="1:6" s="14" customFormat="1">
      <c r="A19" s="21" t="s">
        <v>9</v>
      </c>
      <c r="B19" s="70">
        <f>55451+35767103+152507781+13655103+316-45969018+28825</f>
        <v>156045561</v>
      </c>
      <c r="C19" s="28"/>
      <c r="D19" s="70">
        <f>117111+23678639+105537865+15541119+398-38415269+9975</f>
        <v>106469838</v>
      </c>
      <c r="E19" s="28"/>
      <c r="F19" s="70">
        <f>116430+35551411+106045240+15517023+791-38836561+15150</f>
        <v>118409484</v>
      </c>
    </row>
    <row r="20" spans="1:6" s="14" customFormat="1">
      <c r="A20" s="21" t="s">
        <v>42</v>
      </c>
      <c r="B20" s="70">
        <v>28074147</v>
      </c>
      <c r="C20" s="28"/>
      <c r="D20" s="70">
        <v>26755982</v>
      </c>
      <c r="E20" s="28"/>
      <c r="F20" s="70">
        <v>29253009</v>
      </c>
    </row>
    <row r="21" spans="1:6" s="14" customFormat="1">
      <c r="A21" s="27" t="s">
        <v>10</v>
      </c>
      <c r="B21" s="71">
        <f>+B18+B19+B20</f>
        <v>230059901</v>
      </c>
      <c r="C21" s="29"/>
      <c r="D21" s="71">
        <f>+D18+D19+D20</f>
        <v>171631114</v>
      </c>
      <c r="E21" s="29"/>
      <c r="F21" s="71">
        <f>+F18+F19+F20</f>
        <v>186483904</v>
      </c>
    </row>
    <row r="22" spans="1:6" s="14" customFormat="1">
      <c r="A22" s="21"/>
      <c r="B22" s="70"/>
      <c r="C22" s="28"/>
      <c r="D22" s="70"/>
      <c r="E22" s="28"/>
      <c r="F22" s="70"/>
    </row>
    <row r="23" spans="1:6" s="14" customFormat="1">
      <c r="A23" s="27" t="s">
        <v>11</v>
      </c>
      <c r="B23" s="70"/>
      <c r="C23" s="28"/>
      <c r="D23" s="70"/>
      <c r="E23" s="28"/>
      <c r="F23" s="70"/>
    </row>
    <row r="24" spans="1:6" s="14" customFormat="1">
      <c r="A24" s="21" t="s">
        <v>12</v>
      </c>
      <c r="B24" s="70" t="s">
        <v>13</v>
      </c>
      <c r="C24" s="28"/>
      <c r="D24" s="70" t="s">
        <v>13</v>
      </c>
      <c r="E24" s="28"/>
      <c r="F24" s="70" t="s">
        <v>13</v>
      </c>
    </row>
    <row r="25" spans="1:6" s="14" customFormat="1">
      <c r="A25" s="21" t="s">
        <v>44</v>
      </c>
      <c r="B25" s="70">
        <f>37+92512220</f>
        <v>92512257</v>
      </c>
      <c r="C25" s="28"/>
      <c r="D25" s="70">
        <f>2932+99667482</f>
        <v>99670414</v>
      </c>
      <c r="E25" s="28"/>
      <c r="F25" s="70">
        <f>2940+100514647</f>
        <v>100517587</v>
      </c>
    </row>
    <row r="26" spans="1:6" s="14" customFormat="1" hidden="1">
      <c r="A26" s="21" t="s">
        <v>14</v>
      </c>
      <c r="B26" s="70">
        <f>0</f>
        <v>0</v>
      </c>
      <c r="C26" s="28"/>
      <c r="D26" s="70">
        <f>0</f>
        <v>0</v>
      </c>
      <c r="E26" s="28"/>
      <c r="F26" s="70">
        <f>0</f>
        <v>0</v>
      </c>
    </row>
    <row r="27" spans="1:6" s="14" customFormat="1" hidden="1">
      <c r="A27" s="21" t="s">
        <v>15</v>
      </c>
      <c r="B27" s="70">
        <v>0</v>
      </c>
      <c r="C27" s="28"/>
      <c r="D27" s="70">
        <v>0</v>
      </c>
      <c r="E27" s="28"/>
      <c r="F27" s="70">
        <v>0</v>
      </c>
    </row>
    <row r="28" spans="1:6" s="14" customFormat="1">
      <c r="A28" s="21" t="s">
        <v>48</v>
      </c>
      <c r="B28" s="72">
        <v>13369262</v>
      </c>
      <c r="C28" s="47"/>
      <c r="D28" s="72">
        <f>9714219+14594155</f>
        <v>24308374</v>
      </c>
      <c r="E28" s="28"/>
      <c r="F28" s="72">
        <f>9714219+15661695</f>
        <v>25375914</v>
      </c>
    </row>
    <row r="29" spans="1:6" s="14" customFormat="1" ht="17.25" hidden="1" customHeight="1">
      <c r="A29" s="21" t="s">
        <v>16</v>
      </c>
      <c r="B29" s="70">
        <v>0</v>
      </c>
      <c r="C29" s="30"/>
      <c r="D29" s="70">
        <v>0</v>
      </c>
      <c r="E29" s="31"/>
      <c r="F29" s="70">
        <v>0</v>
      </c>
    </row>
    <row r="30" spans="1:6" s="14" customFormat="1" hidden="1">
      <c r="A30" s="21" t="s">
        <v>17</v>
      </c>
      <c r="B30" s="70">
        <v>151</v>
      </c>
      <c r="C30" s="28"/>
      <c r="D30" s="70">
        <v>0</v>
      </c>
      <c r="E30" s="28"/>
      <c r="F30" s="70">
        <v>0</v>
      </c>
    </row>
    <row r="31" spans="1:6" s="14" customFormat="1">
      <c r="A31" s="21" t="s">
        <v>18</v>
      </c>
      <c r="B31" s="73">
        <f>104064+4315897+3452736+1058+3955000+10867049+2472530+55042</f>
        <v>25223376</v>
      </c>
      <c r="C31" s="28"/>
      <c r="D31" s="73">
        <f>88229+4206706+3374098+1079+4100417+13762496</f>
        <v>25533025</v>
      </c>
      <c r="E31" s="28"/>
      <c r="F31" s="73">
        <f>116788+4206706+3339954+1081+4477737+13677390-1058</f>
        <v>25818598</v>
      </c>
    </row>
    <row r="32" spans="1:6" s="14" customFormat="1">
      <c r="A32" s="27" t="s">
        <v>19</v>
      </c>
      <c r="B32" s="74">
        <f>SUM(B25:B31)</f>
        <v>131105046</v>
      </c>
      <c r="C32" s="32"/>
      <c r="D32" s="74">
        <f>SUM(D25:D31)</f>
        <v>149511813</v>
      </c>
      <c r="E32" s="32"/>
      <c r="F32" s="74">
        <f>SUM(F25:F31)</f>
        <v>151712099</v>
      </c>
    </row>
    <row r="33" spans="1:6" s="14" customFormat="1" ht="18" thickBot="1">
      <c r="A33" s="25" t="s">
        <v>20</v>
      </c>
      <c r="B33" s="75">
        <f>+B32+B21</f>
        <v>361164947</v>
      </c>
      <c r="C33" s="32"/>
      <c r="D33" s="75">
        <f>+D32+D21</f>
        <v>321142927</v>
      </c>
      <c r="E33" s="32"/>
      <c r="F33" s="75">
        <f>+F32+F21</f>
        <v>338196003</v>
      </c>
    </row>
    <row r="34" spans="1:6" s="14" customFormat="1" ht="18" thickTop="1">
      <c r="A34" s="21"/>
      <c r="B34" s="70"/>
      <c r="C34" s="28"/>
      <c r="D34" s="70"/>
      <c r="E34" s="28"/>
      <c r="F34" s="70"/>
    </row>
    <row r="35" spans="1:6" s="14" customFormat="1">
      <c r="A35" s="25" t="s">
        <v>21</v>
      </c>
      <c r="B35" s="70"/>
      <c r="C35" s="28"/>
      <c r="D35" s="70"/>
      <c r="E35" s="28"/>
      <c r="F35" s="70"/>
    </row>
    <row r="36" spans="1:6" s="14" customFormat="1">
      <c r="A36" s="27" t="s">
        <v>22</v>
      </c>
      <c r="B36" s="76"/>
      <c r="C36" s="28"/>
      <c r="D36" s="76"/>
      <c r="E36" s="28"/>
      <c r="F36" s="76"/>
    </row>
    <row r="37" spans="1:6" s="14" customFormat="1">
      <c r="A37" s="21" t="s">
        <v>23</v>
      </c>
      <c r="B37" s="70">
        <f>51480002+2427037</f>
        <v>53907039</v>
      </c>
      <c r="C37" s="28"/>
      <c r="D37" s="70">
        <f>53193511+2623307</f>
        <v>55816818</v>
      </c>
      <c r="E37" s="28"/>
      <c r="F37" s="70">
        <f>53742324+2637658</f>
        <v>56379982</v>
      </c>
    </row>
    <row r="38" spans="1:6" s="14" customFormat="1">
      <c r="A38" s="21" t="s">
        <v>24</v>
      </c>
      <c r="B38" s="76"/>
      <c r="C38" s="28"/>
      <c r="D38" s="76"/>
      <c r="E38" s="28"/>
      <c r="F38" s="76"/>
    </row>
    <row r="39" spans="1:6" s="14" customFormat="1">
      <c r="A39" s="21" t="s">
        <v>25</v>
      </c>
      <c r="B39" s="70">
        <f>29924647+28754+145871+8937547</f>
        <v>39036819</v>
      </c>
      <c r="C39" s="28"/>
      <c r="D39" s="70">
        <f>17223343+32873+484005+793501</f>
        <v>18533722</v>
      </c>
      <c r="E39" s="28"/>
      <c r="F39" s="70">
        <f>21428362+33180+484941+9567667</f>
        <v>31514150</v>
      </c>
    </row>
    <row r="40" spans="1:6" s="14" customFormat="1">
      <c r="A40" s="21" t="s">
        <v>26</v>
      </c>
      <c r="B40" s="70">
        <f>57448234+17774391+6929</f>
        <v>75229554</v>
      </c>
      <c r="C40" s="28"/>
      <c r="D40" s="70">
        <f>55994129+17324493+6754</f>
        <v>73325376</v>
      </c>
      <c r="E40" s="28"/>
      <c r="F40" s="70">
        <f>48253190+29095653+6754</f>
        <v>77355597</v>
      </c>
    </row>
    <row r="41" spans="1:6" s="14" customFormat="1">
      <c r="A41" s="21" t="s">
        <v>27</v>
      </c>
      <c r="B41" s="70">
        <f>49183537-1654000</f>
        <v>47529537</v>
      </c>
      <c r="C41" s="28"/>
      <c r="D41" s="70">
        <f>69343507-9738000</f>
        <v>59605507</v>
      </c>
      <c r="E41" s="28"/>
      <c r="F41" s="70">
        <f>63923488-5449000+91</f>
        <v>58474579</v>
      </c>
    </row>
    <row r="42" spans="1:6" s="14" customFormat="1">
      <c r="A42" s="21" t="s">
        <v>28</v>
      </c>
      <c r="B42" s="70">
        <f>176527735-28754-90626700-145871-8937547-57448234-17774391-6929</f>
        <v>1559309</v>
      </c>
      <c r="C42" s="28"/>
      <c r="D42" s="70">
        <f>115544228-32873-35593488-484005-793501-55994129-17324493-6754-3088431</f>
        <v>2226554</v>
      </c>
      <c r="E42" s="28"/>
      <c r="F42" s="70">
        <f>124882738-33180-36176926-3088431-484941-9567667-48253190-29095653-6754+4030221</f>
        <v>2206217</v>
      </c>
    </row>
    <row r="43" spans="1:6" s="14" customFormat="1">
      <c r="A43" s="27" t="s">
        <v>29</v>
      </c>
      <c r="B43" s="74">
        <f>SUM(B37:B42)</f>
        <v>217262258</v>
      </c>
      <c r="C43" s="32"/>
      <c r="D43" s="74">
        <f>SUM(D37:D42)</f>
        <v>209507977</v>
      </c>
      <c r="E43" s="32"/>
      <c r="F43" s="74">
        <f>SUM(F37:F42)</f>
        <v>225930525</v>
      </c>
    </row>
    <row r="44" spans="1:6" s="14" customFormat="1">
      <c r="A44" s="33"/>
      <c r="B44" s="70"/>
      <c r="C44" s="28"/>
      <c r="D44" s="70"/>
      <c r="E44" s="28"/>
      <c r="F44" s="70"/>
    </row>
    <row r="45" spans="1:6" s="14" customFormat="1">
      <c r="A45" s="27" t="s">
        <v>30</v>
      </c>
      <c r="B45" s="70"/>
      <c r="C45" s="28"/>
      <c r="D45" s="70"/>
      <c r="E45" s="28"/>
      <c r="F45" s="70"/>
    </row>
    <row r="46" spans="1:6" s="14" customFormat="1">
      <c r="A46" s="21" t="s">
        <v>43</v>
      </c>
      <c r="B46" s="70">
        <f>36280382</f>
        <v>36280382</v>
      </c>
      <c r="C46" s="28"/>
      <c r="D46" s="70">
        <v>35362449</v>
      </c>
      <c r="E46" s="28"/>
      <c r="F46" s="70">
        <v>39109601</v>
      </c>
    </row>
    <row r="47" spans="1:6" s="14" customFormat="1">
      <c r="A47" s="21" t="s">
        <v>31</v>
      </c>
      <c r="B47" s="70">
        <f>20725-51771+55042</f>
        <v>23996</v>
      </c>
      <c r="C47" s="28"/>
      <c r="D47" s="70">
        <f>142644-5635</f>
        <v>137009</v>
      </c>
      <c r="E47" s="28"/>
      <c r="F47" s="70">
        <f>5967+3453</f>
        <v>9420</v>
      </c>
    </row>
    <row r="48" spans="1:6" s="14" customFormat="1">
      <c r="A48" s="21" t="s">
        <v>32</v>
      </c>
      <c r="B48" s="70">
        <f>1654000+90626700</f>
        <v>92280700</v>
      </c>
      <c r="C48" s="28"/>
      <c r="D48" s="70">
        <f>9738000+35593488+8964953+3088431</f>
        <v>57384872</v>
      </c>
      <c r="E48" s="28"/>
      <c r="F48" s="70">
        <f>5449000+36176926+3088431+8926020-91</f>
        <v>53640286</v>
      </c>
    </row>
    <row r="49" spans="1:8" s="14" customFormat="1">
      <c r="A49" s="21" t="s">
        <v>49</v>
      </c>
      <c r="B49" s="72">
        <v>163884</v>
      </c>
      <c r="C49" s="28"/>
      <c r="D49" s="72">
        <f>-14594155+14594155</f>
        <v>0</v>
      </c>
      <c r="E49" s="28"/>
      <c r="F49" s="72">
        <f>-15661695+15661695</f>
        <v>0</v>
      </c>
    </row>
    <row r="50" spans="1:8" s="14" customFormat="1">
      <c r="A50" s="21" t="s">
        <v>33</v>
      </c>
      <c r="B50" s="70">
        <f>322907+2100216-1</f>
        <v>2423122</v>
      </c>
      <c r="C50" s="28"/>
      <c r="D50" s="70">
        <f>357256+2104362+7968873</f>
        <v>10430491</v>
      </c>
      <c r="E50" s="32"/>
      <c r="F50" s="70">
        <f>212495+2099316+8067371</f>
        <v>10379182</v>
      </c>
    </row>
    <row r="51" spans="1:8" s="14" customFormat="1">
      <c r="A51" s="27" t="s">
        <v>34</v>
      </c>
      <c r="B51" s="74">
        <f>SUM(B46:B50)</f>
        <v>131172084</v>
      </c>
      <c r="C51" s="32"/>
      <c r="D51" s="74">
        <f>SUM(D46:D50)</f>
        <v>103314821</v>
      </c>
      <c r="E51" s="28"/>
      <c r="F51" s="74">
        <f>SUM(F46:F50)</f>
        <v>103138489</v>
      </c>
    </row>
    <row r="52" spans="1:8" s="14" customFormat="1">
      <c r="A52" s="21"/>
      <c r="B52" s="70"/>
      <c r="C52" s="28"/>
      <c r="D52" s="70"/>
      <c r="E52" s="28"/>
      <c r="F52" s="70"/>
    </row>
    <row r="53" spans="1:8" s="14" customFormat="1">
      <c r="A53" s="27" t="s">
        <v>35</v>
      </c>
      <c r="B53" s="70"/>
      <c r="C53" s="28"/>
      <c r="D53" s="70"/>
      <c r="E53" s="28"/>
      <c r="F53" s="70"/>
    </row>
    <row r="54" spans="1:8" s="14" customFormat="1">
      <c r="A54" s="21" t="s">
        <v>36</v>
      </c>
      <c r="B54" s="70"/>
      <c r="C54" s="28"/>
      <c r="D54" s="70"/>
      <c r="E54" s="28"/>
      <c r="F54" s="70"/>
    </row>
    <row r="55" spans="1:8" s="14" customFormat="1">
      <c r="A55" s="21" t="s">
        <v>37</v>
      </c>
      <c r="B55" s="70">
        <f>4000</f>
        <v>4000</v>
      </c>
      <c r="C55" s="28"/>
      <c r="D55" s="70">
        <f>4000</f>
        <v>4000</v>
      </c>
      <c r="E55" s="28"/>
      <c r="F55" s="70">
        <f>4000</f>
        <v>4000</v>
      </c>
    </row>
    <row r="56" spans="1:8" s="14" customFormat="1">
      <c r="A56" s="21" t="s">
        <v>38</v>
      </c>
      <c r="B56" s="70">
        <v>20000</v>
      </c>
      <c r="C56" s="28"/>
      <c r="D56" s="70">
        <v>20000</v>
      </c>
      <c r="E56" s="28"/>
      <c r="F56" s="70">
        <v>20000</v>
      </c>
    </row>
    <row r="57" spans="1:8" s="14" customFormat="1">
      <c r="A57" s="21" t="s">
        <v>39</v>
      </c>
      <c r="B57" s="73">
        <v>12706605</v>
      </c>
      <c r="C57" s="28"/>
      <c r="D57" s="73">
        <v>8296129</v>
      </c>
      <c r="E57" s="28"/>
      <c r="F57" s="73">
        <v>9102989</v>
      </c>
    </row>
    <row r="58" spans="1:8" s="14" customFormat="1">
      <c r="A58" s="27" t="s">
        <v>40</v>
      </c>
      <c r="B58" s="77">
        <f>SUM(B55:B57)</f>
        <v>12730605</v>
      </c>
      <c r="C58" s="32"/>
      <c r="D58" s="77">
        <f>SUM(D55:D57)</f>
        <v>8320129</v>
      </c>
      <c r="E58" s="32"/>
      <c r="F58" s="77">
        <f>SUM(F55:F57)</f>
        <v>9126989</v>
      </c>
    </row>
    <row r="59" spans="1:8" s="14" customFormat="1" ht="18" thickBot="1">
      <c r="A59" s="34" t="s">
        <v>41</v>
      </c>
      <c r="B59" s="78">
        <f>B43+B51+B58</f>
        <v>361164947</v>
      </c>
      <c r="C59" s="35"/>
      <c r="D59" s="78">
        <f>D43+D51+D58</f>
        <v>321142927</v>
      </c>
      <c r="E59" s="36"/>
      <c r="F59" s="78">
        <f>F43+F51+F58</f>
        <v>338196003</v>
      </c>
    </row>
    <row r="60" spans="1:8" s="14" customFormat="1" ht="18" thickTop="1">
      <c r="A60" s="21"/>
      <c r="B60" s="46"/>
      <c r="C60" s="26"/>
      <c r="D60" s="37"/>
      <c r="E60" s="37"/>
      <c r="F60" s="38"/>
    </row>
    <row r="61" spans="1:8" s="14" customFormat="1" ht="15" customHeight="1">
      <c r="A61" s="18"/>
      <c r="B61" s="19"/>
      <c r="C61" s="39"/>
      <c r="D61" s="19"/>
      <c r="E61" s="39"/>
      <c r="F61" s="20"/>
    </row>
    <row r="62" spans="1:8" s="14" customFormat="1" ht="19.5" customHeight="1">
      <c r="A62" s="49" t="s">
        <v>46</v>
      </c>
      <c r="B62" s="26"/>
      <c r="C62" s="50"/>
      <c r="D62" s="51"/>
      <c r="E62" s="51"/>
      <c r="F62" s="52"/>
    </row>
    <row r="63" spans="1:8" s="14" customFormat="1">
      <c r="A63" s="48" t="s">
        <v>91</v>
      </c>
      <c r="B63" s="40"/>
      <c r="C63" s="41"/>
      <c r="D63" s="42"/>
      <c r="E63" s="40"/>
      <c r="F63" s="42"/>
    </row>
    <row r="64" spans="1:8" s="14" customFormat="1">
      <c r="A64" s="21" t="s">
        <v>45</v>
      </c>
      <c r="B64" s="26"/>
      <c r="C64" s="26"/>
      <c r="D64" s="43"/>
      <c r="E64" s="26"/>
      <c r="F64" s="43"/>
      <c r="G64" s="26"/>
      <c r="H64" s="26"/>
    </row>
    <row r="65" spans="1:6" s="14" customFormat="1">
      <c r="A65" s="18" t="s">
        <v>84</v>
      </c>
      <c r="B65" s="44"/>
      <c r="C65" s="44"/>
      <c r="D65" s="44"/>
      <c r="E65" s="44"/>
      <c r="F65" s="45"/>
    </row>
    <row r="67" spans="1:6" hidden="1">
      <c r="B67">
        <f>B59-B33</f>
        <v>0</v>
      </c>
      <c r="D67">
        <f>D59-D33</f>
        <v>0</v>
      </c>
      <c r="E67" s="4">
        <f>E59-E33</f>
        <v>0</v>
      </c>
      <c r="F67">
        <f>F59-F33</f>
        <v>0</v>
      </c>
    </row>
  </sheetData>
  <sheetProtection sheet="1" objects="1" scenarios="1"/>
  <phoneticPr fontId="0" type="noConversion"/>
  <printOptions horizontalCentered="1" verticalCentered="1"/>
  <pageMargins left="0.5" right="0.5" top="0" bottom="0" header="0.25" footer="0.25"/>
  <pageSetup scale="65" orientation="portrait" r:id="rId1"/>
  <headerFooter alignWithMargins="0">
    <oddHeader>&amp;CSCHEDULE I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7" zoomScale="75" zoomScaleNormal="75" workbookViewId="0">
      <selection activeCell="D26" sqref="D26"/>
    </sheetView>
  </sheetViews>
  <sheetFormatPr defaultRowHeight="15"/>
  <cols>
    <col min="1" max="1" width="43.44140625" customWidth="1"/>
    <col min="2" max="2" width="15.44140625" customWidth="1"/>
    <col min="3" max="3" width="1.77734375" customWidth="1"/>
    <col min="4" max="4" width="15.77734375" customWidth="1"/>
    <col min="5" max="5" width="1.77734375" customWidth="1"/>
    <col min="6" max="6" width="15.33203125" customWidth="1"/>
    <col min="7" max="7" width="15.77734375" customWidth="1"/>
    <col min="8" max="8" width="15.5546875" customWidth="1"/>
  </cols>
  <sheetData>
    <row r="1" spans="1:8" ht="17.25">
      <c r="A1" s="1"/>
      <c r="B1" s="2"/>
      <c r="C1" s="2"/>
      <c r="D1" s="2"/>
      <c r="E1" s="2"/>
      <c r="F1" s="2"/>
      <c r="G1" s="52"/>
      <c r="H1" s="14"/>
    </row>
    <row r="2" spans="1:8" ht="17.25">
      <c r="A2" s="3"/>
      <c r="B2" s="4"/>
      <c r="C2" s="4"/>
      <c r="D2" s="4"/>
      <c r="E2" s="4"/>
      <c r="F2" s="4"/>
      <c r="G2" s="43"/>
      <c r="H2" s="14"/>
    </row>
    <row r="3" spans="1:8" ht="17.25">
      <c r="A3" s="3"/>
      <c r="B3" s="4"/>
      <c r="C3" s="4"/>
      <c r="D3" s="4"/>
      <c r="E3" s="4"/>
      <c r="F3" s="4"/>
      <c r="G3" s="43"/>
      <c r="H3" s="14"/>
    </row>
    <row r="4" spans="1:8" ht="17.25">
      <c r="A4" s="3"/>
      <c r="B4" s="4"/>
      <c r="C4" s="4"/>
      <c r="D4" s="4"/>
      <c r="E4" s="4"/>
      <c r="F4" s="4"/>
      <c r="G4" s="43"/>
      <c r="H4" s="14"/>
    </row>
    <row r="5" spans="1:8" ht="17.25">
      <c r="A5" s="3"/>
      <c r="B5" s="4"/>
      <c r="C5" s="4"/>
      <c r="D5" s="4"/>
      <c r="E5" s="4"/>
      <c r="F5" s="4"/>
      <c r="G5" s="43"/>
      <c r="H5" s="14"/>
    </row>
    <row r="6" spans="1:8" ht="17.25">
      <c r="A6" s="3"/>
      <c r="B6" s="4"/>
      <c r="C6" s="4"/>
      <c r="D6" s="4"/>
      <c r="E6" s="4"/>
      <c r="F6" s="4"/>
      <c r="G6" s="43"/>
      <c r="H6" s="14"/>
    </row>
    <row r="7" spans="1:8" ht="17.25">
      <c r="A7" s="3"/>
      <c r="B7" s="4"/>
      <c r="C7" s="4"/>
      <c r="D7" s="4"/>
      <c r="E7" s="4"/>
      <c r="F7" s="4"/>
      <c r="G7" s="43"/>
      <c r="H7" s="14"/>
    </row>
    <row r="8" spans="1:8" ht="17.25">
      <c r="A8" s="3"/>
      <c r="B8" s="4"/>
      <c r="C8" s="4"/>
      <c r="D8" s="4"/>
      <c r="E8" s="4"/>
      <c r="F8" s="4"/>
      <c r="G8" s="43"/>
      <c r="H8" s="14"/>
    </row>
    <row r="9" spans="1:8" ht="17.25">
      <c r="A9" s="3"/>
      <c r="B9" s="4"/>
      <c r="C9" s="4"/>
      <c r="D9" s="4"/>
      <c r="E9" s="4"/>
      <c r="F9" s="4"/>
      <c r="G9" s="43"/>
      <c r="H9" s="14"/>
    </row>
    <row r="10" spans="1:8" ht="41.25">
      <c r="A10" s="5" t="s">
        <v>0</v>
      </c>
      <c r="B10" s="6"/>
      <c r="C10" s="7"/>
      <c r="D10" s="7"/>
      <c r="E10" s="7"/>
      <c r="F10" s="7"/>
      <c r="G10" s="43"/>
      <c r="H10" s="14"/>
    </row>
    <row r="11" spans="1:8" ht="17.25">
      <c r="A11" s="8"/>
      <c r="B11" s="9"/>
      <c r="C11" s="10"/>
      <c r="D11" s="9"/>
      <c r="E11" s="10"/>
      <c r="F11" s="9"/>
      <c r="G11" s="20"/>
      <c r="H11" s="14"/>
    </row>
    <row r="12" spans="1:8" ht="20.25">
      <c r="A12" s="11" t="s">
        <v>1</v>
      </c>
      <c r="B12" s="12"/>
      <c r="C12" s="13"/>
      <c r="D12" s="12"/>
      <c r="E12" s="13"/>
      <c r="F12" s="12"/>
      <c r="G12" s="52"/>
      <c r="H12" s="14"/>
    </row>
    <row r="13" spans="1:8" ht="20.25">
      <c r="A13" s="15" t="s">
        <v>2</v>
      </c>
      <c r="B13" s="16"/>
      <c r="C13" s="17"/>
      <c r="D13" s="16"/>
      <c r="E13" s="17"/>
      <c r="F13" s="16"/>
      <c r="G13" s="43"/>
      <c r="H13" s="14"/>
    </row>
    <row r="14" spans="1:8" ht="20.25">
      <c r="A14" s="15" t="s">
        <v>51</v>
      </c>
      <c r="B14" s="16"/>
      <c r="C14" s="17"/>
      <c r="D14" s="16"/>
      <c r="E14" s="17"/>
      <c r="F14" s="16"/>
      <c r="G14" s="43"/>
      <c r="H14" s="14"/>
    </row>
    <row r="15" spans="1:8" ht="17.25">
      <c r="A15" s="18" t="s">
        <v>3</v>
      </c>
      <c r="B15" s="19"/>
      <c r="C15" s="19"/>
      <c r="D15" s="19"/>
      <c r="E15" s="19"/>
      <c r="F15" s="20"/>
      <c r="G15" s="20"/>
      <c r="H15" s="14"/>
    </row>
    <row r="16" spans="1:8" ht="17.25">
      <c r="A16" s="21"/>
      <c r="B16" s="66">
        <v>2012</v>
      </c>
      <c r="C16" s="22"/>
      <c r="D16" s="66">
        <v>2013</v>
      </c>
      <c r="E16" s="23"/>
      <c r="F16" s="53">
        <v>2013</v>
      </c>
      <c r="G16" s="80" t="s">
        <v>4</v>
      </c>
      <c r="H16" s="14"/>
    </row>
    <row r="17" spans="1:8" ht="17.25">
      <c r="A17" s="21"/>
      <c r="B17" s="67" t="s">
        <v>55</v>
      </c>
      <c r="C17" s="24"/>
      <c r="D17" s="67" t="s">
        <v>50</v>
      </c>
      <c r="E17" s="24"/>
      <c r="F17" s="54" t="s">
        <v>52</v>
      </c>
      <c r="G17" s="84" t="s">
        <v>53</v>
      </c>
      <c r="H17" s="14"/>
    </row>
    <row r="18" spans="1:8" ht="17.25">
      <c r="A18" s="21"/>
      <c r="B18" s="68" t="s">
        <v>5</v>
      </c>
      <c r="C18" s="24"/>
      <c r="D18" s="68" t="s">
        <v>5</v>
      </c>
      <c r="E18" s="24"/>
      <c r="F18" s="55" t="s">
        <v>5</v>
      </c>
      <c r="G18" s="80" t="s">
        <v>5</v>
      </c>
      <c r="H18" s="14"/>
    </row>
    <row r="19" spans="1:8" ht="17.25">
      <c r="A19" s="25" t="s">
        <v>6</v>
      </c>
      <c r="B19" s="69"/>
      <c r="C19" s="26"/>
      <c r="D19" s="69"/>
      <c r="E19" s="26"/>
      <c r="F19" s="56"/>
      <c r="G19" s="43"/>
      <c r="H19" s="14"/>
    </row>
    <row r="20" spans="1:8" ht="17.25">
      <c r="A20" s="27" t="s">
        <v>7</v>
      </c>
      <c r="B20" s="69"/>
      <c r="C20" s="26"/>
      <c r="D20" s="69"/>
      <c r="E20" s="26"/>
      <c r="F20" s="56"/>
      <c r="G20" s="43"/>
      <c r="H20" s="14"/>
    </row>
    <row r="21" spans="1:8" ht="17.25">
      <c r="A21" s="21" t="s">
        <v>8</v>
      </c>
      <c r="B21" s="70">
        <f>42889039-22589</f>
        <v>42866450</v>
      </c>
      <c r="C21" s="28"/>
      <c r="D21" s="70">
        <f>37111691-15004</f>
        <v>37096687</v>
      </c>
      <c r="E21" s="28"/>
      <c r="F21" s="57">
        <f>38401884-14587</f>
        <v>38387297</v>
      </c>
      <c r="G21" s="43">
        <f>F21-D21</f>
        <v>1290610</v>
      </c>
      <c r="H21" s="14"/>
    </row>
    <row r="22" spans="1:8" ht="17.25">
      <c r="A22" s="21" t="s">
        <v>9</v>
      </c>
      <c r="B22" s="70">
        <f>55334+42379057+154053730+13507432+740-42889039+22589</f>
        <v>167129843</v>
      </c>
      <c r="C22" s="28"/>
      <c r="D22" s="70">
        <f>113682+16590064+119613061+14834411+692-37111691+15004</f>
        <v>114055223</v>
      </c>
      <c r="E22" s="28"/>
      <c r="F22" s="57">
        <f>113872+22856586+110223282+15105720+112766-38401884+14587</f>
        <v>110024929</v>
      </c>
      <c r="G22" s="43">
        <f>F22-D22</f>
        <v>-4030294</v>
      </c>
      <c r="H22" s="81"/>
    </row>
    <row r="23" spans="1:8" ht="17.25">
      <c r="A23" s="21" t="s">
        <v>42</v>
      </c>
      <c r="B23" s="70">
        <v>28291198</v>
      </c>
      <c r="C23" s="28"/>
      <c r="D23" s="70">
        <v>26755982</v>
      </c>
      <c r="E23" s="28"/>
      <c r="F23" s="57">
        <v>26755982</v>
      </c>
      <c r="G23" s="43">
        <f>F23-D23</f>
        <v>0</v>
      </c>
      <c r="H23" s="82"/>
    </row>
    <row r="24" spans="1:8" ht="17.25">
      <c r="A24" s="27" t="s">
        <v>10</v>
      </c>
      <c r="B24" s="71">
        <f>+B21+B22+B23</f>
        <v>238287491</v>
      </c>
      <c r="C24" s="29"/>
      <c r="D24" s="71">
        <f>+D21+D22+D23</f>
        <v>177907892</v>
      </c>
      <c r="E24" s="29"/>
      <c r="F24" s="58">
        <f>+F21+F22+F23</f>
        <v>175168208</v>
      </c>
      <c r="G24" s="85">
        <f>+G21+G22+G23</f>
        <v>-2739684</v>
      </c>
      <c r="H24" s="14"/>
    </row>
    <row r="25" spans="1:8" ht="17.25">
      <c r="A25" s="21"/>
      <c r="B25" s="70"/>
      <c r="C25" s="28"/>
      <c r="D25" s="70"/>
      <c r="E25" s="28"/>
      <c r="F25" s="57"/>
      <c r="G25" s="43"/>
      <c r="H25" s="14"/>
    </row>
    <row r="26" spans="1:8" ht="17.25">
      <c r="A26" s="27" t="s">
        <v>11</v>
      </c>
      <c r="B26" s="70"/>
      <c r="C26" s="28"/>
      <c r="D26" s="70"/>
      <c r="E26" s="28"/>
      <c r="F26" s="57"/>
      <c r="G26" s="43"/>
      <c r="H26" s="14"/>
    </row>
    <row r="27" spans="1:8" ht="17.25">
      <c r="A27" s="21" t="s">
        <v>12</v>
      </c>
      <c r="B27" s="70" t="s">
        <v>13</v>
      </c>
      <c r="C27" s="28"/>
      <c r="D27" s="70" t="s">
        <v>13</v>
      </c>
      <c r="E27" s="28"/>
      <c r="F27" s="57" t="s">
        <v>13</v>
      </c>
      <c r="G27" s="43"/>
      <c r="H27" s="14"/>
    </row>
    <row r="28" spans="1:8" ht="17.25">
      <c r="A28" s="21" t="s">
        <v>44</v>
      </c>
      <c r="B28" s="70">
        <f>300+92820759</f>
        <v>92821059</v>
      </c>
      <c r="C28" s="28"/>
      <c r="D28" s="70">
        <f>2863+97165892</f>
        <v>97168755</v>
      </c>
      <c r="E28" s="28"/>
      <c r="F28" s="57">
        <f>2872+118634102-18966620</f>
        <v>99670354</v>
      </c>
      <c r="G28" s="43">
        <f t="shared" ref="G28:G34" si="0">F28-D28</f>
        <v>2501599</v>
      </c>
      <c r="H28" s="14"/>
    </row>
    <row r="29" spans="1:8" ht="17.25" hidden="1">
      <c r="A29" s="21" t="s">
        <v>14</v>
      </c>
      <c r="B29" s="70">
        <f>0</f>
        <v>0</v>
      </c>
      <c r="C29" s="28"/>
      <c r="D29" s="70">
        <f>0</f>
        <v>0</v>
      </c>
      <c r="E29" s="28"/>
      <c r="F29" s="57">
        <f>0</f>
        <v>0</v>
      </c>
      <c r="G29" s="43">
        <f t="shared" si="0"/>
        <v>0</v>
      </c>
      <c r="H29" s="14"/>
    </row>
    <row r="30" spans="1:8" ht="17.25" hidden="1">
      <c r="A30" s="21" t="s">
        <v>15</v>
      </c>
      <c r="B30" s="70">
        <v>0</v>
      </c>
      <c r="C30" s="28"/>
      <c r="D30" s="70">
        <v>0</v>
      </c>
      <c r="E30" s="28"/>
      <c r="F30" s="57">
        <v>0</v>
      </c>
      <c r="G30" s="43">
        <f t="shared" si="0"/>
        <v>0</v>
      </c>
      <c r="H30" s="14"/>
    </row>
    <row r="31" spans="1:8" ht="17.25">
      <c r="A31" s="21" t="s">
        <v>48</v>
      </c>
      <c r="B31" s="72">
        <f>16309584</f>
        <v>16309584</v>
      </c>
      <c r="C31" s="47"/>
      <c r="D31" s="72">
        <f>9651094</f>
        <v>9651094</v>
      </c>
      <c r="E31" s="28"/>
      <c r="F31" s="59">
        <f>9651094</f>
        <v>9651094</v>
      </c>
      <c r="G31" s="43">
        <f t="shared" si="0"/>
        <v>0</v>
      </c>
      <c r="H31" s="14"/>
    </row>
    <row r="32" spans="1:8" ht="17.25" hidden="1">
      <c r="A32" s="21" t="s">
        <v>16</v>
      </c>
      <c r="B32" s="70">
        <v>0</v>
      </c>
      <c r="C32" s="30"/>
      <c r="D32" s="70">
        <v>0</v>
      </c>
      <c r="E32" s="31"/>
      <c r="F32" s="57">
        <v>0</v>
      </c>
      <c r="G32" s="43">
        <f t="shared" si="0"/>
        <v>0</v>
      </c>
      <c r="H32" s="14"/>
    </row>
    <row r="33" spans="1:8" ht="17.25" hidden="1">
      <c r="A33" s="21" t="s">
        <v>17</v>
      </c>
      <c r="B33" s="70">
        <v>0</v>
      </c>
      <c r="C33" s="28"/>
      <c r="D33" s="70">
        <v>0</v>
      </c>
      <c r="E33" s="28"/>
      <c r="F33" s="57">
        <v>0</v>
      </c>
      <c r="G33" s="43">
        <f t="shared" si="0"/>
        <v>0</v>
      </c>
      <c r="H33" s="14"/>
    </row>
    <row r="34" spans="1:8" ht="17.25">
      <c r="A34" s="21" t="s">
        <v>18</v>
      </c>
      <c r="B34" s="73">
        <f>114713+4315897+3512033-2516+4735279+10361177+21</f>
        <v>23036604</v>
      </c>
      <c r="C34" s="28"/>
      <c r="D34" s="73">
        <f>103802+4428859+3330130+1066+4637726+12621710-190</f>
        <v>25123103</v>
      </c>
      <c r="E34" s="28"/>
      <c r="F34" s="60">
        <f>95918+4428859+3305344+1106+2534832+13209182-8083</f>
        <v>23567158</v>
      </c>
      <c r="G34" s="43">
        <f t="shared" si="0"/>
        <v>-1555945</v>
      </c>
      <c r="H34" s="14"/>
    </row>
    <row r="35" spans="1:8" ht="17.25">
      <c r="A35" s="27" t="s">
        <v>19</v>
      </c>
      <c r="B35" s="74">
        <f>SUM(B28:B34)</f>
        <v>132167247</v>
      </c>
      <c r="C35" s="32"/>
      <c r="D35" s="74">
        <f>SUM(D28:D34)</f>
        <v>131942952</v>
      </c>
      <c r="E35" s="32"/>
      <c r="F35" s="61">
        <f>SUM(F28:F34)</f>
        <v>132888606</v>
      </c>
      <c r="G35" s="86">
        <f>SUM(G28:G34)</f>
        <v>945654</v>
      </c>
      <c r="H35" s="14"/>
    </row>
    <row r="36" spans="1:8" ht="18" thickBot="1">
      <c r="A36" s="25" t="s">
        <v>20</v>
      </c>
      <c r="B36" s="75">
        <f>+B35+B24</f>
        <v>370454738</v>
      </c>
      <c r="C36" s="32"/>
      <c r="D36" s="75">
        <f>+D35+D24</f>
        <v>309850844</v>
      </c>
      <c r="E36" s="32"/>
      <c r="F36" s="62">
        <f>+F35+F24</f>
        <v>308056814</v>
      </c>
      <c r="G36" s="87">
        <f>F36-D36</f>
        <v>-1794030</v>
      </c>
      <c r="H36" s="14"/>
    </row>
    <row r="37" spans="1:8" ht="18" thickTop="1">
      <c r="A37" s="21"/>
      <c r="B37" s="70"/>
      <c r="C37" s="28"/>
      <c r="D37" s="70"/>
      <c r="E37" s="28"/>
      <c r="F37" s="57"/>
      <c r="G37" s="43"/>
      <c r="H37" s="14"/>
    </row>
    <row r="38" spans="1:8" ht="17.25">
      <c r="A38" s="25" t="s">
        <v>21</v>
      </c>
      <c r="B38" s="70"/>
      <c r="C38" s="28"/>
      <c r="D38" s="70"/>
      <c r="E38" s="28"/>
      <c r="F38" s="57"/>
      <c r="G38" s="43"/>
      <c r="H38" s="14"/>
    </row>
    <row r="39" spans="1:8" ht="17.25">
      <c r="A39" s="27" t="s">
        <v>22</v>
      </c>
      <c r="B39" s="76"/>
      <c r="C39" s="28"/>
      <c r="D39" s="76"/>
      <c r="E39" s="28"/>
      <c r="F39" s="63"/>
      <c r="G39" s="43"/>
      <c r="H39" s="14"/>
    </row>
    <row r="40" spans="1:8" ht="17.25">
      <c r="A40" s="21" t="s">
        <v>23</v>
      </c>
      <c r="B40" s="70">
        <f>50030730+2415924</f>
        <v>52446654</v>
      </c>
      <c r="C40" s="28"/>
      <c r="D40" s="70">
        <f>52437345+2621781</f>
        <v>55059126</v>
      </c>
      <c r="E40" s="28"/>
      <c r="F40" s="57">
        <f>53769489+2633104</f>
        <v>56402593</v>
      </c>
      <c r="G40" s="43">
        <f>F40-D40</f>
        <v>1343467</v>
      </c>
      <c r="H40" s="81"/>
    </row>
    <row r="41" spans="1:8" ht="17.25">
      <c r="A41" s="21" t="s">
        <v>24</v>
      </c>
      <c r="B41" s="76"/>
      <c r="C41" s="28"/>
      <c r="D41" s="76"/>
      <c r="E41" s="28"/>
      <c r="F41" s="63"/>
      <c r="G41" s="43"/>
      <c r="H41" s="14"/>
    </row>
    <row r="42" spans="1:8" ht="17.25">
      <c r="A42" s="21" t="s">
        <v>25</v>
      </c>
      <c r="B42" s="70">
        <f>9273342+29261+1534265+31693181</f>
        <v>42530049</v>
      </c>
      <c r="C42" s="28"/>
      <c r="D42" s="70">
        <f>8494646+32457+195500+1597909</f>
        <v>10320512</v>
      </c>
      <c r="E42" s="28"/>
      <c r="F42" s="57">
        <f>4354481+32287+282754+673829</f>
        <v>5343351</v>
      </c>
      <c r="G42" s="43">
        <f>F42-D42</f>
        <v>-4977161</v>
      </c>
      <c r="H42" s="79">
        <f>37144427.51-31133.49-1721292.58-83501.05-20814.42-33.55-506462.31-4160.17-326131.26-6207023.5-842.28-2915000-73135.28-11686589.43-1310000-244949.03-4.25-1001000-1788089.94-0.39-25142.86-1883066.41-79050.82-23799.69-237261.01</f>
        <v>6975943.7899999982</v>
      </c>
    </row>
    <row r="43" spans="1:8" ht="17.25">
      <c r="A43" s="21" t="s">
        <v>26</v>
      </c>
      <c r="B43" s="70">
        <f>57448234+17774391+6929</f>
        <v>75229554</v>
      </c>
      <c r="C43" s="28"/>
      <c r="D43" s="70">
        <f>55994129+17324493+6754</f>
        <v>73325376</v>
      </c>
      <c r="E43" s="28"/>
      <c r="F43" s="57">
        <f>55994129+17324493+6754</f>
        <v>73325376</v>
      </c>
      <c r="G43" s="43">
        <f>F43-D43</f>
        <v>0</v>
      </c>
      <c r="H43" s="79">
        <f>+H42*96.5932</f>
        <v>673828733.69622779</v>
      </c>
    </row>
    <row r="44" spans="1:8" ht="17.25">
      <c r="A44" s="21" t="s">
        <v>27</v>
      </c>
      <c r="B44" s="70">
        <f>52726190-5628000</f>
        <v>47098190</v>
      </c>
      <c r="C44" s="28"/>
      <c r="D44" s="70">
        <f>72836367-7708000</f>
        <v>65128367</v>
      </c>
      <c r="E44" s="28"/>
      <c r="F44" s="57">
        <f>80535544-20947000</f>
        <v>59588544</v>
      </c>
      <c r="G44" s="43">
        <f>F44-D44</f>
        <v>-5539823</v>
      </c>
      <c r="H44" s="81"/>
    </row>
    <row r="45" spans="1:8" ht="17.25">
      <c r="A45" s="21" t="s">
        <v>28</v>
      </c>
      <c r="B45" s="70">
        <f>203895216-29261-93930455-1534265-31693181-57448234-17774391-6929</f>
        <v>1478500</v>
      </c>
      <c r="C45" s="28"/>
      <c r="D45" s="70">
        <f>117776136-32457-40709771-195500-1597909-55994129-17324493-6754</f>
        <v>1915123</v>
      </c>
      <c r="E45" s="28"/>
      <c r="F45" s="57">
        <f>131334210-32287-50310503-282754-673829-55994129-17324493-6754</f>
        <v>6709461</v>
      </c>
      <c r="G45" s="88">
        <f>F45-D45</f>
        <v>4794338</v>
      </c>
      <c r="H45" s="79"/>
    </row>
    <row r="46" spans="1:8" ht="17.25">
      <c r="A46" s="27" t="s">
        <v>29</v>
      </c>
      <c r="B46" s="74">
        <f>SUM(B40:B45)</f>
        <v>218782947</v>
      </c>
      <c r="C46" s="32"/>
      <c r="D46" s="74">
        <f>SUM(D40:D45)</f>
        <v>205748504</v>
      </c>
      <c r="E46" s="32"/>
      <c r="F46" s="61">
        <f>SUM(F40:F45)</f>
        <v>201369325</v>
      </c>
      <c r="G46" s="89">
        <f>SUM(G40:G45)</f>
        <v>-4379179</v>
      </c>
      <c r="H46" s="14"/>
    </row>
    <row r="47" spans="1:8" ht="17.25">
      <c r="A47" s="33"/>
      <c r="B47" s="70"/>
      <c r="C47" s="28"/>
      <c r="D47" s="70"/>
      <c r="E47" s="28"/>
      <c r="F47" s="57"/>
      <c r="G47" s="43"/>
      <c r="H47" s="14"/>
    </row>
    <row r="48" spans="1:8" ht="17.25">
      <c r="A48" s="27" t="s">
        <v>30</v>
      </c>
      <c r="B48" s="70"/>
      <c r="C48" s="28"/>
      <c r="D48" s="70"/>
      <c r="E48" s="28"/>
      <c r="F48" s="57"/>
      <c r="G48" s="43"/>
      <c r="H48" s="14"/>
    </row>
    <row r="49" spans="1:8" ht="17.25">
      <c r="A49" s="21" t="s">
        <v>43</v>
      </c>
      <c r="B49" s="70">
        <f>36280382</f>
        <v>36280382</v>
      </c>
      <c r="C49" s="28"/>
      <c r="D49" s="70">
        <v>35362449</v>
      </c>
      <c r="E49" s="28"/>
      <c r="F49" s="57">
        <v>35362449</v>
      </c>
      <c r="G49" s="43">
        <f>F49-D49</f>
        <v>0</v>
      </c>
      <c r="H49" s="81"/>
    </row>
    <row r="50" spans="1:8" ht="17.25">
      <c r="A50" s="21" t="s">
        <v>31</v>
      </c>
      <c r="B50" s="70">
        <f>9177+65193</f>
        <v>74370</v>
      </c>
      <c r="C50" s="28"/>
      <c r="D50" s="70">
        <f>60986-14531</f>
        <v>46455</v>
      </c>
      <c r="E50" s="28"/>
      <c r="F50" s="57">
        <f>133570+1221</f>
        <v>134791</v>
      </c>
      <c r="G50" s="43">
        <f>F50-D50</f>
        <v>88336</v>
      </c>
      <c r="H50" s="14"/>
    </row>
    <row r="51" spans="1:8" ht="17.25">
      <c r="A51" s="21" t="s">
        <v>32</v>
      </c>
      <c r="B51" s="70">
        <f>5628000+93930455</f>
        <v>99558455</v>
      </c>
      <c r="C51" s="28"/>
      <c r="D51" s="70">
        <f>7708000+40709771</f>
        <v>48417771</v>
      </c>
      <c r="E51" s="28"/>
      <c r="F51" s="57">
        <f>20947000+50310503</f>
        <v>71257503</v>
      </c>
      <c r="G51" s="90">
        <f>F51-D51</f>
        <v>22839732</v>
      </c>
      <c r="H51" s="14"/>
    </row>
    <row r="52" spans="1:8" ht="17.25">
      <c r="A52" s="21" t="s">
        <v>49</v>
      </c>
      <c r="B52" s="72">
        <v>527755</v>
      </c>
      <c r="C52" s="28"/>
      <c r="D52" s="72">
        <v>1307348</v>
      </c>
      <c r="E52" s="28"/>
      <c r="F52" s="59">
        <v>2311676</v>
      </c>
      <c r="G52" s="43">
        <f>F52-D52</f>
        <v>1004328</v>
      </c>
      <c r="H52" s="81"/>
    </row>
    <row r="53" spans="1:8" ht="17.25">
      <c r="A53" s="21" t="s">
        <v>33</v>
      </c>
      <c r="B53" s="70">
        <f>486275+1998831-2</f>
        <v>2485104</v>
      </c>
      <c r="C53" s="28"/>
      <c r="D53" s="70">
        <f>212323+2068509+5569712</f>
        <v>7850544</v>
      </c>
      <c r="E53" s="32"/>
      <c r="F53" s="57">
        <f>202510+2037602+6557390+1</f>
        <v>8797503</v>
      </c>
      <c r="G53" s="43">
        <f>F53-D53</f>
        <v>946959</v>
      </c>
      <c r="H53" s="14"/>
    </row>
    <row r="54" spans="1:8" ht="17.25">
      <c r="A54" s="27" t="s">
        <v>34</v>
      </c>
      <c r="B54" s="74">
        <f>SUM(B49:B53)</f>
        <v>138926066</v>
      </c>
      <c r="C54" s="32"/>
      <c r="D54" s="74">
        <f>SUM(D49:D53)</f>
        <v>92984567</v>
      </c>
      <c r="E54" s="28"/>
      <c r="F54" s="61">
        <f>SUM(F49:F53)</f>
        <v>117863922</v>
      </c>
      <c r="G54" s="86">
        <f>SUM(G49:G53)</f>
        <v>24879355</v>
      </c>
      <c r="H54" s="14"/>
    </row>
    <row r="55" spans="1:8" ht="17.25">
      <c r="A55" s="21"/>
      <c r="B55" s="70"/>
      <c r="C55" s="28"/>
      <c r="D55" s="70"/>
      <c r="E55" s="28"/>
      <c r="F55" s="57"/>
      <c r="G55" s="43"/>
      <c r="H55" s="14"/>
    </row>
    <row r="56" spans="1:8" ht="17.25">
      <c r="A56" s="27" t="s">
        <v>35</v>
      </c>
      <c r="B56" s="70"/>
      <c r="C56" s="28"/>
      <c r="D56" s="70"/>
      <c r="E56" s="28"/>
      <c r="F56" s="57"/>
      <c r="G56" s="43"/>
      <c r="H56" s="14"/>
    </row>
    <row r="57" spans="1:8" ht="17.25">
      <c r="A57" s="21" t="s">
        <v>36</v>
      </c>
      <c r="B57" s="70"/>
      <c r="C57" s="28"/>
      <c r="D57" s="70"/>
      <c r="E57" s="28"/>
      <c r="F57" s="57"/>
      <c r="G57" s="43"/>
      <c r="H57" s="14"/>
    </row>
    <row r="58" spans="1:8" ht="17.25">
      <c r="A58" s="21" t="s">
        <v>37</v>
      </c>
      <c r="B58" s="70">
        <f>4000</f>
        <v>4000</v>
      </c>
      <c r="C58" s="28"/>
      <c r="D58" s="70">
        <f>4000</f>
        <v>4000</v>
      </c>
      <c r="E58" s="28"/>
      <c r="F58" s="57">
        <f>4000</f>
        <v>4000</v>
      </c>
      <c r="G58" s="43">
        <f>F58-D58</f>
        <v>0</v>
      </c>
      <c r="H58" s="83"/>
    </row>
    <row r="59" spans="1:8" ht="17.25">
      <c r="A59" s="21" t="s">
        <v>38</v>
      </c>
      <c r="B59" s="70">
        <v>20000</v>
      </c>
      <c r="C59" s="28"/>
      <c r="D59" s="70">
        <v>20000</v>
      </c>
      <c r="E59" s="28"/>
      <c r="F59" s="57">
        <v>20000</v>
      </c>
      <c r="G59" s="43">
        <f>F59-D59</f>
        <v>0</v>
      </c>
      <c r="H59" s="14"/>
    </row>
    <row r="60" spans="1:8" ht="17.25">
      <c r="A60" s="21" t="s">
        <v>56</v>
      </c>
      <c r="B60" s="70">
        <v>0</v>
      </c>
      <c r="C60" s="28"/>
      <c r="D60" s="70">
        <v>0</v>
      </c>
      <c r="E60" s="28"/>
      <c r="F60" s="57">
        <v>-18966620</v>
      </c>
      <c r="G60" s="43">
        <f>F60-D60</f>
        <v>-18966620</v>
      </c>
      <c r="H60" s="14"/>
    </row>
    <row r="61" spans="1:8" ht="17.25">
      <c r="A61" s="21" t="s">
        <v>39</v>
      </c>
      <c r="B61" s="73">
        <v>12721725</v>
      </c>
      <c r="C61" s="28"/>
      <c r="D61" s="73">
        <v>11093773</v>
      </c>
      <c r="E61" s="28"/>
      <c r="F61" s="60">
        <v>7766187</v>
      </c>
      <c r="G61" s="88">
        <f>F61-D61</f>
        <v>-3327586</v>
      </c>
      <c r="H61" s="14"/>
    </row>
    <row r="62" spans="1:8" ht="17.25">
      <c r="A62" s="27" t="s">
        <v>40</v>
      </c>
      <c r="B62" s="77">
        <f>SUM(B58:B61)</f>
        <v>12745725</v>
      </c>
      <c r="C62" s="32"/>
      <c r="D62" s="77">
        <f>SUM(D58:D61)</f>
        <v>11117773</v>
      </c>
      <c r="E62" s="32"/>
      <c r="F62" s="64">
        <f>SUM(F58:F61)</f>
        <v>-11176433</v>
      </c>
      <c r="G62" s="89">
        <f>SUM(G58:G61)</f>
        <v>-22294206</v>
      </c>
      <c r="H62" s="14"/>
    </row>
    <row r="63" spans="1:8" ht="18" thickBot="1">
      <c r="A63" s="34" t="s">
        <v>41</v>
      </c>
      <c r="B63" s="78">
        <f>B46+B54+B62</f>
        <v>370454738</v>
      </c>
      <c r="C63" s="35"/>
      <c r="D63" s="78">
        <f>D46+D54+D62</f>
        <v>309850844</v>
      </c>
      <c r="E63" s="36"/>
      <c r="F63" s="65">
        <f>F46+F54+F62</f>
        <v>308056814</v>
      </c>
      <c r="G63" s="91">
        <f>F63-D63</f>
        <v>-1794030</v>
      </c>
      <c r="H63" s="14"/>
    </row>
    <row r="64" spans="1:8" ht="18" thickTop="1">
      <c r="A64" s="21"/>
      <c r="B64" s="46"/>
      <c r="C64" s="26"/>
      <c r="D64" s="37"/>
      <c r="E64" s="37"/>
      <c r="F64" s="38"/>
      <c r="G64" s="43"/>
      <c r="H64" s="14"/>
    </row>
    <row r="65" spans="1:8" ht="17.25">
      <c r="A65" s="18"/>
      <c r="B65" s="19"/>
      <c r="C65" s="39"/>
      <c r="D65" s="19"/>
      <c r="E65" s="39"/>
      <c r="F65" s="20"/>
      <c r="G65" s="20"/>
      <c r="H65" s="14"/>
    </row>
    <row r="66" spans="1:8" ht="17.25">
      <c r="A66" s="49" t="s">
        <v>46</v>
      </c>
      <c r="B66" s="26"/>
      <c r="C66" s="50"/>
      <c r="D66" s="51"/>
      <c r="E66" s="51"/>
      <c r="F66" s="52"/>
      <c r="G66" s="52"/>
      <c r="H66" s="14"/>
    </row>
    <row r="67" spans="1:8" ht="17.25">
      <c r="A67" s="48" t="s">
        <v>54</v>
      </c>
      <c r="B67" s="40"/>
      <c r="C67" s="41"/>
      <c r="D67" s="42"/>
      <c r="E67" s="40"/>
      <c r="F67" s="42"/>
      <c r="G67" s="92"/>
      <c r="H67" s="14"/>
    </row>
    <row r="68" spans="1:8" ht="17.25">
      <c r="A68" s="21" t="s">
        <v>45</v>
      </c>
      <c r="B68" s="26"/>
      <c r="C68" s="26"/>
      <c r="D68" s="43"/>
      <c r="E68" s="26"/>
      <c r="F68" s="43"/>
      <c r="G68" s="43"/>
      <c r="H68" s="26"/>
    </row>
    <row r="69" spans="1:8" ht="17.25">
      <c r="A69" s="18" t="s">
        <v>47</v>
      </c>
      <c r="B69" s="44"/>
      <c r="C69" s="44"/>
      <c r="D69" s="44"/>
      <c r="E69" s="44"/>
      <c r="F69" s="45"/>
      <c r="G69" s="20"/>
      <c r="H69" s="14"/>
    </row>
    <row r="70" spans="1:8" ht="17.25">
      <c r="E70" s="4"/>
      <c r="G70" s="14"/>
      <c r="H70" s="14"/>
    </row>
    <row r="71" spans="1:8" ht="17.25">
      <c r="B71">
        <f>B63-B36</f>
        <v>0</v>
      </c>
      <c r="D71">
        <f>D63-D36</f>
        <v>0</v>
      </c>
      <c r="E71" s="4"/>
      <c r="F71">
        <f>F63-F36</f>
        <v>0</v>
      </c>
      <c r="G71" s="14"/>
      <c r="H71" s="14"/>
    </row>
    <row r="72" spans="1:8" ht="17.25">
      <c r="E72" s="4"/>
      <c r="G72" s="14"/>
      <c r="H72" s="14"/>
    </row>
  </sheetData>
  <printOptions horizontalCentered="1" verticalCentered="1"/>
  <pageMargins left="0.5" right="0.5" top="0" bottom="0" header="0.25" footer="0.25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0" zoomScale="75" zoomScaleNormal="75" workbookViewId="0">
      <selection activeCell="A73" sqref="A73"/>
    </sheetView>
  </sheetViews>
  <sheetFormatPr defaultRowHeight="15"/>
  <cols>
    <col min="1" max="1" width="43.44140625" customWidth="1"/>
    <col min="2" max="2" width="17.6640625" customWidth="1"/>
    <col min="3" max="3" width="1.77734375" customWidth="1"/>
    <col min="4" max="4" width="17.21875" customWidth="1"/>
    <col min="5" max="5" width="1.77734375" customWidth="1"/>
    <col min="6" max="6" width="16.88671875" customWidth="1"/>
    <col min="7" max="7" width="17.109375" customWidth="1"/>
    <col min="8" max="8" width="17" customWidth="1"/>
  </cols>
  <sheetData>
    <row r="1" spans="1:8" ht="17.25">
      <c r="A1" s="1"/>
      <c r="B1" s="2"/>
      <c r="C1" s="2"/>
      <c r="D1" s="2"/>
      <c r="E1" s="2"/>
      <c r="F1" s="2"/>
      <c r="G1" s="52"/>
      <c r="H1" s="14"/>
    </row>
    <row r="2" spans="1:8" ht="17.25">
      <c r="A2" s="3"/>
      <c r="B2" s="4"/>
      <c r="C2" s="4"/>
      <c r="D2" s="4"/>
      <c r="E2" s="4"/>
      <c r="F2" s="4"/>
      <c r="G2" s="43"/>
      <c r="H2" s="14"/>
    </row>
    <row r="3" spans="1:8" ht="17.25">
      <c r="A3" s="3"/>
      <c r="B3" s="4"/>
      <c r="C3" s="4"/>
      <c r="D3" s="4"/>
      <c r="E3" s="4"/>
      <c r="F3" s="4"/>
      <c r="G3" s="43"/>
      <c r="H3" s="14"/>
    </row>
    <row r="4" spans="1:8" ht="17.25">
      <c r="A4" s="3"/>
      <c r="B4" s="4"/>
      <c r="C4" s="4"/>
      <c r="D4" s="4"/>
      <c r="E4" s="4"/>
      <c r="F4" s="4"/>
      <c r="G4" s="43"/>
      <c r="H4" s="14"/>
    </row>
    <row r="5" spans="1:8" ht="17.25">
      <c r="A5" s="3"/>
      <c r="B5" s="4"/>
      <c r="C5" s="4"/>
      <c r="D5" s="4"/>
      <c r="E5" s="4"/>
      <c r="F5" s="4"/>
      <c r="G5" s="43"/>
      <c r="H5" s="14"/>
    </row>
    <row r="6" spans="1:8" ht="17.25">
      <c r="A6" s="3"/>
      <c r="B6" s="4"/>
      <c r="C6" s="4"/>
      <c r="D6" s="4"/>
      <c r="E6" s="4"/>
      <c r="F6" s="4"/>
      <c r="G6" s="43"/>
      <c r="H6" s="14"/>
    </row>
    <row r="7" spans="1:8" ht="17.25">
      <c r="A7" s="3"/>
      <c r="B7" s="4"/>
      <c r="C7" s="4"/>
      <c r="D7" s="4"/>
      <c r="E7" s="4"/>
      <c r="F7" s="4"/>
      <c r="G7" s="43"/>
      <c r="H7" s="14"/>
    </row>
    <row r="8" spans="1:8" ht="17.25">
      <c r="A8" s="3"/>
      <c r="B8" s="4"/>
      <c r="C8" s="4"/>
      <c r="D8" s="4"/>
      <c r="E8" s="4"/>
      <c r="F8" s="4"/>
      <c r="G8" s="43"/>
      <c r="H8" s="14"/>
    </row>
    <row r="9" spans="1:8" ht="17.25">
      <c r="A9" s="3"/>
      <c r="B9" s="4"/>
      <c r="C9" s="4"/>
      <c r="D9" s="4"/>
      <c r="E9" s="4"/>
      <c r="F9" s="4"/>
      <c r="G9" s="43"/>
      <c r="H9" s="14"/>
    </row>
    <row r="10" spans="1:8" ht="41.25">
      <c r="A10" s="5" t="s">
        <v>0</v>
      </c>
      <c r="B10" s="6"/>
      <c r="C10" s="7"/>
      <c r="D10" s="7"/>
      <c r="E10" s="7"/>
      <c r="F10" s="7"/>
      <c r="G10" s="43"/>
      <c r="H10" s="14"/>
    </row>
    <row r="11" spans="1:8" ht="17.25">
      <c r="A11" s="8"/>
      <c r="B11" s="9"/>
      <c r="C11" s="10"/>
      <c r="D11" s="9"/>
      <c r="E11" s="10"/>
      <c r="F11" s="9"/>
      <c r="G11" s="20"/>
      <c r="H11" s="14"/>
    </row>
    <row r="12" spans="1:8" ht="20.25">
      <c r="A12" s="11" t="s">
        <v>1</v>
      </c>
      <c r="B12" s="12"/>
      <c r="C12" s="13"/>
      <c r="D12" s="12"/>
      <c r="E12" s="13"/>
      <c r="F12" s="12"/>
      <c r="G12" s="52"/>
      <c r="H12" s="14"/>
    </row>
    <row r="13" spans="1:8" ht="20.25">
      <c r="A13" s="15" t="s">
        <v>2</v>
      </c>
      <c r="B13" s="16"/>
      <c r="C13" s="17"/>
      <c r="D13" s="16"/>
      <c r="E13" s="17"/>
      <c r="F13" s="16"/>
      <c r="G13" s="43"/>
      <c r="H13" s="14"/>
    </row>
    <row r="14" spans="1:8" ht="20.25">
      <c r="A14" s="15" t="s">
        <v>51</v>
      </c>
      <c r="B14" s="16"/>
      <c r="C14" s="17"/>
      <c r="D14" s="16"/>
      <c r="E14" s="17"/>
      <c r="F14" s="16"/>
      <c r="G14" s="43"/>
      <c r="H14" s="14"/>
    </row>
    <row r="15" spans="1:8" ht="17.25">
      <c r="A15" s="18" t="s">
        <v>3</v>
      </c>
      <c r="B15" s="19"/>
      <c r="C15" s="19"/>
      <c r="D15" s="19"/>
      <c r="E15" s="19"/>
      <c r="F15" s="20"/>
      <c r="G15" s="20"/>
      <c r="H15" s="14"/>
    </row>
    <row r="16" spans="1:8" ht="17.25">
      <c r="A16" s="21"/>
      <c r="B16" s="66">
        <v>2012</v>
      </c>
      <c r="C16" s="22"/>
      <c r="D16" s="66">
        <v>2013</v>
      </c>
      <c r="E16" s="23"/>
      <c r="F16" s="53">
        <v>2013</v>
      </c>
      <c r="G16" s="80" t="s">
        <v>4</v>
      </c>
      <c r="H16" s="14"/>
    </row>
    <row r="17" spans="1:8" ht="17.25">
      <c r="A17" s="21"/>
      <c r="B17" s="67" t="s">
        <v>55</v>
      </c>
      <c r="C17" s="24"/>
      <c r="D17" s="67" t="s">
        <v>50</v>
      </c>
      <c r="E17" s="24"/>
      <c r="F17" s="54" t="s">
        <v>52</v>
      </c>
      <c r="G17" s="84" t="s">
        <v>53</v>
      </c>
      <c r="H17" s="14"/>
    </row>
    <row r="18" spans="1:8" ht="17.25">
      <c r="A18" s="21"/>
      <c r="B18" s="68" t="s">
        <v>5</v>
      </c>
      <c r="C18" s="24"/>
      <c r="D18" s="68" t="s">
        <v>5</v>
      </c>
      <c r="E18" s="24"/>
      <c r="F18" s="55" t="s">
        <v>5</v>
      </c>
      <c r="G18" s="80" t="s">
        <v>5</v>
      </c>
      <c r="H18" s="14"/>
    </row>
    <row r="19" spans="1:8" ht="17.25">
      <c r="A19" s="25" t="s">
        <v>6</v>
      </c>
      <c r="B19" s="69"/>
      <c r="C19" s="26"/>
      <c r="D19" s="69"/>
      <c r="E19" s="26"/>
      <c r="F19" s="56"/>
      <c r="G19" s="43"/>
      <c r="H19" s="14"/>
    </row>
    <row r="20" spans="1:8" ht="17.25">
      <c r="A20" s="27" t="s">
        <v>7</v>
      </c>
      <c r="B20" s="69"/>
      <c r="C20" s="26"/>
      <c r="D20" s="69"/>
      <c r="E20" s="26"/>
      <c r="F20" s="56"/>
      <c r="G20" s="43"/>
      <c r="H20" s="14"/>
    </row>
    <row r="21" spans="1:8" ht="17.25">
      <c r="A21" s="21" t="s">
        <v>8</v>
      </c>
      <c r="B21" s="70">
        <f>42889039-22589</f>
        <v>42866450</v>
      </c>
      <c r="C21" s="28"/>
      <c r="D21" s="70">
        <f>37111691-15004</f>
        <v>37096687</v>
      </c>
      <c r="E21" s="28"/>
      <c r="F21" s="57">
        <f>38401884-14587</f>
        <v>38387297</v>
      </c>
      <c r="G21" s="43">
        <f>F21-D21</f>
        <v>1290610</v>
      </c>
      <c r="H21" s="14"/>
    </row>
    <row r="22" spans="1:8" ht="17.25">
      <c r="A22" s="21" t="s">
        <v>9</v>
      </c>
      <c r="B22" s="70">
        <f>55334+42379057+154053730+13507432+740-42889039+22589</f>
        <v>167129843</v>
      </c>
      <c r="C22" s="28"/>
      <c r="D22" s="70">
        <f>113682+16590064+119613061+14834411+692-37111691+15004</f>
        <v>114055223</v>
      </c>
      <c r="E22" s="28"/>
      <c r="F22" s="57">
        <f>113872+22856586+110223282+15105720+112766-38401884+14587</f>
        <v>110024929</v>
      </c>
      <c r="G22" s="43">
        <f>F22-D22</f>
        <v>-4030294</v>
      </c>
      <c r="H22" s="81"/>
    </row>
    <row r="23" spans="1:8" ht="17.25">
      <c r="A23" s="21" t="s">
        <v>42</v>
      </c>
      <c r="B23" s="70">
        <v>28291198</v>
      </c>
      <c r="C23" s="28"/>
      <c r="D23" s="70">
        <v>26755982</v>
      </c>
      <c r="E23" s="28"/>
      <c r="F23" s="57">
        <v>26755982</v>
      </c>
      <c r="G23" s="43">
        <f>F23-D23</f>
        <v>0</v>
      </c>
      <c r="H23" s="82"/>
    </row>
    <row r="24" spans="1:8" ht="17.25">
      <c r="A24" s="27" t="s">
        <v>10</v>
      </c>
      <c r="B24" s="71">
        <f>+B21+B22+B23</f>
        <v>238287491</v>
      </c>
      <c r="C24" s="29"/>
      <c r="D24" s="71">
        <f>+D21+D22+D23</f>
        <v>177907892</v>
      </c>
      <c r="E24" s="29"/>
      <c r="F24" s="58">
        <f>+F21+F22+F23</f>
        <v>175168208</v>
      </c>
      <c r="G24" s="85">
        <f>+G21+G22+G23</f>
        <v>-2739684</v>
      </c>
      <c r="H24" s="14"/>
    </row>
    <row r="25" spans="1:8" ht="17.25">
      <c r="A25" s="21"/>
      <c r="B25" s="70"/>
      <c r="C25" s="28"/>
      <c r="D25" s="70"/>
      <c r="E25" s="28"/>
      <c r="F25" s="57"/>
      <c r="G25" s="43"/>
      <c r="H25" s="14"/>
    </row>
    <row r="26" spans="1:8" ht="17.25">
      <c r="A26" s="27" t="s">
        <v>11</v>
      </c>
      <c r="B26" s="70"/>
      <c r="C26" s="28"/>
      <c r="D26" s="70"/>
      <c r="E26" s="28"/>
      <c r="F26" s="57"/>
      <c r="G26" s="43"/>
      <c r="H26" s="14"/>
    </row>
    <row r="27" spans="1:8" ht="17.25">
      <c r="A27" s="21" t="s">
        <v>12</v>
      </c>
      <c r="B27" s="70" t="s">
        <v>13</v>
      </c>
      <c r="C27" s="28"/>
      <c r="D27" s="70" t="s">
        <v>13</v>
      </c>
      <c r="E27" s="28"/>
      <c r="F27" s="57" t="s">
        <v>13</v>
      </c>
      <c r="G27" s="43"/>
      <c r="H27" s="14"/>
    </row>
    <row r="28" spans="1:8" ht="17.25">
      <c r="A28" s="21" t="s">
        <v>44</v>
      </c>
      <c r="B28" s="70">
        <f>300+92820759</f>
        <v>92821059</v>
      </c>
      <c r="C28" s="28"/>
      <c r="D28" s="70">
        <f>2863+97165892</f>
        <v>97168755</v>
      </c>
      <c r="E28" s="28"/>
      <c r="F28" s="57">
        <f>2872+118634102-18966620</f>
        <v>99670354</v>
      </c>
      <c r="G28" s="43">
        <f t="shared" ref="G28:G34" si="0">F28-D28</f>
        <v>2501599</v>
      </c>
      <c r="H28" s="14"/>
    </row>
    <row r="29" spans="1:8" ht="17.25" hidden="1">
      <c r="A29" s="21" t="s">
        <v>14</v>
      </c>
      <c r="B29" s="70">
        <f>0</f>
        <v>0</v>
      </c>
      <c r="C29" s="28"/>
      <c r="D29" s="70">
        <f>0</f>
        <v>0</v>
      </c>
      <c r="E29" s="28"/>
      <c r="F29" s="57">
        <f>0</f>
        <v>0</v>
      </c>
      <c r="G29" s="43">
        <f t="shared" si="0"/>
        <v>0</v>
      </c>
      <c r="H29" s="14"/>
    </row>
    <row r="30" spans="1:8" ht="17.25" hidden="1">
      <c r="A30" s="21" t="s">
        <v>15</v>
      </c>
      <c r="B30" s="70">
        <v>0</v>
      </c>
      <c r="C30" s="28"/>
      <c r="D30" s="70">
        <v>0</v>
      </c>
      <c r="E30" s="28"/>
      <c r="F30" s="57">
        <v>0</v>
      </c>
      <c r="G30" s="43">
        <f t="shared" si="0"/>
        <v>0</v>
      </c>
      <c r="H30" s="14"/>
    </row>
    <row r="31" spans="1:8" ht="17.25">
      <c r="A31" s="21" t="s">
        <v>48</v>
      </c>
      <c r="B31" s="72">
        <f>16309584</f>
        <v>16309584</v>
      </c>
      <c r="C31" s="47"/>
      <c r="D31" s="72">
        <f>9651094</f>
        <v>9651094</v>
      </c>
      <c r="E31" s="28"/>
      <c r="F31" s="59">
        <f>9651094+16654944</f>
        <v>26306038</v>
      </c>
      <c r="G31" s="43">
        <f t="shared" si="0"/>
        <v>16654944</v>
      </c>
      <c r="H31" s="14"/>
    </row>
    <row r="32" spans="1:8" ht="17.25" hidden="1">
      <c r="A32" s="21" t="s">
        <v>16</v>
      </c>
      <c r="B32" s="70">
        <v>0</v>
      </c>
      <c r="C32" s="30"/>
      <c r="D32" s="70">
        <v>0</v>
      </c>
      <c r="E32" s="31"/>
      <c r="F32" s="57">
        <v>0</v>
      </c>
      <c r="G32" s="43">
        <f t="shared" si="0"/>
        <v>0</v>
      </c>
      <c r="H32" s="14"/>
    </row>
    <row r="33" spans="1:8" ht="17.25" hidden="1">
      <c r="A33" s="21" t="s">
        <v>17</v>
      </c>
      <c r="B33" s="70">
        <v>0</v>
      </c>
      <c r="C33" s="28"/>
      <c r="D33" s="70">
        <v>0</v>
      </c>
      <c r="E33" s="28"/>
      <c r="F33" s="57">
        <v>0</v>
      </c>
      <c r="G33" s="43">
        <f t="shared" si="0"/>
        <v>0</v>
      </c>
      <c r="H33" s="14"/>
    </row>
    <row r="34" spans="1:8" ht="17.25">
      <c r="A34" s="21" t="s">
        <v>18</v>
      </c>
      <c r="B34" s="73">
        <f>114713+4315897+3512033-2516+4735279+10361177+21</f>
        <v>23036604</v>
      </c>
      <c r="C34" s="28"/>
      <c r="D34" s="73">
        <f>103802+4428859+3330130+1066+4637726+12621710-190</f>
        <v>25123103</v>
      </c>
      <c r="E34" s="28"/>
      <c r="F34" s="60">
        <f>95918+4428859+3305344+1106+2534832+13209182-8083</f>
        <v>23567158</v>
      </c>
      <c r="G34" s="43">
        <f t="shared" si="0"/>
        <v>-1555945</v>
      </c>
      <c r="H34" s="14"/>
    </row>
    <row r="35" spans="1:8" ht="17.25">
      <c r="A35" s="27" t="s">
        <v>19</v>
      </c>
      <c r="B35" s="74">
        <f>SUM(B28:B34)</f>
        <v>132167247</v>
      </c>
      <c r="C35" s="32"/>
      <c r="D35" s="74">
        <f>SUM(D28:D34)</f>
        <v>131942952</v>
      </c>
      <c r="E35" s="32"/>
      <c r="F35" s="61">
        <f>SUM(F28:F34)</f>
        <v>149543550</v>
      </c>
      <c r="G35" s="86">
        <f>SUM(G28:G34)</f>
        <v>17600598</v>
      </c>
      <c r="H35" s="14"/>
    </row>
    <row r="36" spans="1:8" ht="18" thickBot="1">
      <c r="A36" s="25" t="s">
        <v>20</v>
      </c>
      <c r="B36" s="75">
        <f>+B35+B24</f>
        <v>370454738</v>
      </c>
      <c r="C36" s="32"/>
      <c r="D36" s="75">
        <f>+D35+D24</f>
        <v>309850844</v>
      </c>
      <c r="E36" s="32"/>
      <c r="F36" s="62">
        <f>+F35+F24</f>
        <v>324711758</v>
      </c>
      <c r="G36" s="87">
        <f>F36-D36</f>
        <v>14860914</v>
      </c>
      <c r="H36" s="14"/>
    </row>
    <row r="37" spans="1:8" ht="18" thickTop="1">
      <c r="A37" s="21"/>
      <c r="B37" s="70"/>
      <c r="C37" s="28"/>
      <c r="D37" s="70"/>
      <c r="E37" s="28"/>
      <c r="F37" s="57"/>
      <c r="G37" s="43"/>
      <c r="H37" s="14"/>
    </row>
    <row r="38" spans="1:8" ht="17.25">
      <c r="A38" s="25" t="s">
        <v>21</v>
      </c>
      <c r="B38" s="70"/>
      <c r="C38" s="28"/>
      <c r="D38" s="70"/>
      <c r="E38" s="28"/>
      <c r="F38" s="57"/>
      <c r="G38" s="43"/>
      <c r="H38" s="14"/>
    </row>
    <row r="39" spans="1:8" ht="17.25">
      <c r="A39" s="27" t="s">
        <v>22</v>
      </c>
      <c r="B39" s="76"/>
      <c r="C39" s="28"/>
      <c r="D39" s="76"/>
      <c r="E39" s="28"/>
      <c r="F39" s="63"/>
      <c r="G39" s="43"/>
      <c r="H39" s="14"/>
    </row>
    <row r="40" spans="1:8" ht="17.25">
      <c r="A40" s="21" t="s">
        <v>23</v>
      </c>
      <c r="B40" s="70">
        <f>50030730+2415924</f>
        <v>52446654</v>
      </c>
      <c r="C40" s="28"/>
      <c r="D40" s="70">
        <f>52437345+2621781</f>
        <v>55059126</v>
      </c>
      <c r="E40" s="28"/>
      <c r="F40" s="57">
        <f>53769489+2633104</f>
        <v>56402593</v>
      </c>
      <c r="G40" s="43">
        <f>F40-D40</f>
        <v>1343467</v>
      </c>
      <c r="H40" s="81"/>
    </row>
    <row r="41" spans="1:8" ht="17.25">
      <c r="A41" s="21" t="s">
        <v>24</v>
      </c>
      <c r="B41" s="76"/>
      <c r="C41" s="28"/>
      <c r="D41" s="76"/>
      <c r="E41" s="28"/>
      <c r="F41" s="63"/>
      <c r="G41" s="43"/>
      <c r="H41" s="14"/>
    </row>
    <row r="42" spans="1:8" ht="17.25">
      <c r="A42" s="21" t="s">
        <v>25</v>
      </c>
      <c r="B42" s="70">
        <f>9273342+29261+1534265+31693181</f>
        <v>42530049</v>
      </c>
      <c r="C42" s="28"/>
      <c r="D42" s="70">
        <f>8494646+32457+195500+1597909</f>
        <v>10320512</v>
      </c>
      <c r="E42" s="28"/>
      <c r="F42" s="57">
        <f>4354481+32287+282754+673829</f>
        <v>5343351</v>
      </c>
      <c r="G42" s="43">
        <f>F42-D42</f>
        <v>-4977161</v>
      </c>
      <c r="H42" s="79">
        <f>37144427.51-31133.49-1721292.58-83501.05-20814.42-33.55-506462.31-4160.17-326131.26-6207023.5-842.28-2915000-73135.28-11686589.43-1310000-244949.03-4.25-1001000-1788089.94-0.39-25142.86-1883066.41-79050.82-23799.69-237261.01</f>
        <v>6975943.7899999982</v>
      </c>
    </row>
    <row r="43" spans="1:8" ht="17.25">
      <c r="A43" s="21" t="s">
        <v>26</v>
      </c>
      <c r="B43" s="70">
        <f>57448234+17774391+6929</f>
        <v>75229554</v>
      </c>
      <c r="C43" s="28"/>
      <c r="D43" s="70">
        <f>55994129+17324493+6754</f>
        <v>73325376</v>
      </c>
      <c r="E43" s="28"/>
      <c r="F43" s="57">
        <f>55994129+17324493+6754</f>
        <v>73325376</v>
      </c>
      <c r="G43" s="43">
        <f>F43-D43</f>
        <v>0</v>
      </c>
      <c r="H43" s="79">
        <f>+H42*96.5932</f>
        <v>673828733.69622779</v>
      </c>
    </row>
    <row r="44" spans="1:8" ht="17.25">
      <c r="A44" s="21" t="s">
        <v>27</v>
      </c>
      <c r="B44" s="70">
        <f>52726190-5628000</f>
        <v>47098190</v>
      </c>
      <c r="C44" s="28"/>
      <c r="D44" s="70">
        <f>72836367-7708000</f>
        <v>65128367</v>
      </c>
      <c r="E44" s="28"/>
      <c r="F44" s="57">
        <f>80535544-20947000</f>
        <v>59588544</v>
      </c>
      <c r="G44" s="43">
        <f>F44-D44</f>
        <v>-5539823</v>
      </c>
      <c r="H44" s="81"/>
    </row>
    <row r="45" spans="1:8" ht="17.25">
      <c r="A45" s="21" t="s">
        <v>28</v>
      </c>
      <c r="B45" s="70">
        <f>203895216-29261-93930455-1534265-31693181-57448234-17774391-6929</f>
        <v>1478500</v>
      </c>
      <c r="C45" s="28"/>
      <c r="D45" s="70">
        <f>117776136-32457-40709771-195500-1597909-55994129-17324493-6754</f>
        <v>1915123</v>
      </c>
      <c r="E45" s="28"/>
      <c r="F45" s="57">
        <f>131334210-32287-50310503-282754-673829-55994129-17324493-6754</f>
        <v>6709461</v>
      </c>
      <c r="G45" s="88">
        <f>F45-D45</f>
        <v>4794338</v>
      </c>
      <c r="H45" s="79"/>
    </row>
    <row r="46" spans="1:8" ht="17.25">
      <c r="A46" s="27" t="s">
        <v>29</v>
      </c>
      <c r="B46" s="74">
        <f>SUM(B40:B45)</f>
        <v>218782947</v>
      </c>
      <c r="C46" s="32"/>
      <c r="D46" s="74">
        <f>SUM(D40:D45)</f>
        <v>205748504</v>
      </c>
      <c r="E46" s="32"/>
      <c r="F46" s="61">
        <f>SUM(F40:F45)</f>
        <v>201369325</v>
      </c>
      <c r="G46" s="89">
        <f>SUM(G40:G45)</f>
        <v>-4379179</v>
      </c>
      <c r="H46" s="14"/>
    </row>
    <row r="47" spans="1:8" ht="17.25">
      <c r="A47" s="33"/>
      <c r="B47" s="70"/>
      <c r="C47" s="28"/>
      <c r="D47" s="70"/>
      <c r="E47" s="28"/>
      <c r="F47" s="57"/>
      <c r="G47" s="43"/>
      <c r="H47" s="14"/>
    </row>
    <row r="48" spans="1:8" ht="17.25">
      <c r="A48" s="27" t="s">
        <v>30</v>
      </c>
      <c r="B48" s="70"/>
      <c r="C48" s="28"/>
      <c r="D48" s="70"/>
      <c r="E48" s="28"/>
      <c r="F48" s="57"/>
      <c r="G48" s="43"/>
      <c r="H48" s="14"/>
    </row>
    <row r="49" spans="1:8" ht="17.25">
      <c r="A49" s="21" t="s">
        <v>43</v>
      </c>
      <c r="B49" s="70">
        <f>36280382</f>
        <v>36280382</v>
      </c>
      <c r="C49" s="28"/>
      <c r="D49" s="70">
        <v>35362449</v>
      </c>
      <c r="E49" s="28"/>
      <c r="F49" s="57">
        <v>35362449</v>
      </c>
      <c r="G49" s="43">
        <f>F49-D49</f>
        <v>0</v>
      </c>
      <c r="H49" s="81"/>
    </row>
    <row r="50" spans="1:8" ht="17.25">
      <c r="A50" s="21" t="s">
        <v>31</v>
      </c>
      <c r="B50" s="70">
        <f>9177+65193</f>
        <v>74370</v>
      </c>
      <c r="C50" s="28"/>
      <c r="D50" s="70">
        <f>60986-14531</f>
        <v>46455</v>
      </c>
      <c r="E50" s="28"/>
      <c r="F50" s="57">
        <f>133570+1221</f>
        <v>134791</v>
      </c>
      <c r="G50" s="43">
        <f>F50-D50</f>
        <v>88336</v>
      </c>
      <c r="H50" s="14"/>
    </row>
    <row r="51" spans="1:8" ht="17.25">
      <c r="A51" s="21" t="s">
        <v>32</v>
      </c>
      <c r="B51" s="70">
        <f>5628000+93930455</f>
        <v>99558455</v>
      </c>
      <c r="C51" s="28"/>
      <c r="D51" s="70">
        <f>7708000+40709771</f>
        <v>48417771</v>
      </c>
      <c r="E51" s="28"/>
      <c r="F51" s="57">
        <f>20947000+50310503</f>
        <v>71257503</v>
      </c>
      <c r="G51" s="90">
        <f>F51-D51</f>
        <v>22839732</v>
      </c>
      <c r="H51" s="14"/>
    </row>
    <row r="52" spans="1:8" ht="17.25">
      <c r="A52" s="21" t="s">
        <v>49</v>
      </c>
      <c r="B52" s="72">
        <v>527755</v>
      </c>
      <c r="C52" s="28"/>
      <c r="D52" s="72">
        <v>1307348</v>
      </c>
      <c r="E52" s="28"/>
      <c r="F52" s="59">
        <f>2311676-18966620+16654944</f>
        <v>0</v>
      </c>
      <c r="G52" s="43">
        <f>F52-D52</f>
        <v>-1307348</v>
      </c>
      <c r="H52" s="81"/>
    </row>
    <row r="53" spans="1:8" ht="17.25">
      <c r="A53" s="21" t="s">
        <v>33</v>
      </c>
      <c r="B53" s="70">
        <f>486275+1998831-2</f>
        <v>2485104</v>
      </c>
      <c r="C53" s="28"/>
      <c r="D53" s="70">
        <f>212323+2068509+5569712</f>
        <v>7850544</v>
      </c>
      <c r="E53" s="32"/>
      <c r="F53" s="57">
        <f>202510+2037602+6557390+1</f>
        <v>8797503</v>
      </c>
      <c r="G53" s="43">
        <f>F53-D53</f>
        <v>946959</v>
      </c>
      <c r="H53" s="14"/>
    </row>
    <row r="54" spans="1:8" ht="17.25">
      <c r="A54" s="27" t="s">
        <v>34</v>
      </c>
      <c r="B54" s="74">
        <f>SUM(B49:B53)</f>
        <v>138926066</v>
      </c>
      <c r="C54" s="32"/>
      <c r="D54" s="74">
        <f>SUM(D49:D53)</f>
        <v>92984567</v>
      </c>
      <c r="E54" s="28"/>
      <c r="F54" s="61">
        <f>SUM(F49:F53)</f>
        <v>115552246</v>
      </c>
      <c r="G54" s="86">
        <f>SUM(G49:G53)</f>
        <v>22567679</v>
      </c>
      <c r="H54" s="14"/>
    </row>
    <row r="55" spans="1:8" ht="17.25">
      <c r="A55" s="21"/>
      <c r="B55" s="70"/>
      <c r="C55" s="28"/>
      <c r="D55" s="70"/>
      <c r="E55" s="28"/>
      <c r="F55" s="57"/>
      <c r="G55" s="43"/>
      <c r="H55" s="14"/>
    </row>
    <row r="56" spans="1:8" ht="17.25">
      <c r="A56" s="27" t="s">
        <v>35</v>
      </c>
      <c r="B56" s="70"/>
      <c r="C56" s="28"/>
      <c r="D56" s="70"/>
      <c r="E56" s="28"/>
      <c r="F56" s="57"/>
      <c r="G56" s="43"/>
      <c r="H56" s="14"/>
    </row>
    <row r="57" spans="1:8" ht="17.25">
      <c r="A57" s="21" t="s">
        <v>36</v>
      </c>
      <c r="B57" s="70"/>
      <c r="C57" s="28"/>
      <c r="D57" s="70"/>
      <c r="E57" s="28"/>
      <c r="F57" s="57"/>
      <c r="G57" s="43"/>
      <c r="H57" s="14"/>
    </row>
    <row r="58" spans="1:8" ht="17.25">
      <c r="A58" s="21" t="s">
        <v>37</v>
      </c>
      <c r="B58" s="70">
        <f>4000</f>
        <v>4000</v>
      </c>
      <c r="C58" s="28"/>
      <c r="D58" s="70">
        <f>4000</f>
        <v>4000</v>
      </c>
      <c r="E58" s="28"/>
      <c r="F58" s="57">
        <f>4000</f>
        <v>4000</v>
      </c>
      <c r="G58" s="43">
        <f>F58-D58</f>
        <v>0</v>
      </c>
      <c r="H58" s="83"/>
    </row>
    <row r="59" spans="1:8" ht="17.25">
      <c r="A59" s="21" t="s">
        <v>38</v>
      </c>
      <c r="B59" s="70">
        <v>20000</v>
      </c>
      <c r="C59" s="28"/>
      <c r="D59" s="70">
        <v>20000</v>
      </c>
      <c r="E59" s="28"/>
      <c r="F59" s="57">
        <v>20000</v>
      </c>
      <c r="G59" s="43">
        <f>F59-D59</f>
        <v>0</v>
      </c>
      <c r="H59" s="14"/>
    </row>
    <row r="60" spans="1:8" ht="17.25">
      <c r="A60" s="21" t="s">
        <v>39</v>
      </c>
      <c r="B60" s="73">
        <v>12721725</v>
      </c>
      <c r="C60" s="28"/>
      <c r="D60" s="73">
        <v>11093773</v>
      </c>
      <c r="E60" s="28"/>
      <c r="F60" s="60">
        <v>7766187</v>
      </c>
      <c r="G60" s="88">
        <f>F60-D60</f>
        <v>-3327586</v>
      </c>
      <c r="H60" s="14"/>
    </row>
    <row r="61" spans="1:8" ht="17.25">
      <c r="A61" s="27" t="s">
        <v>40</v>
      </c>
      <c r="B61" s="77">
        <f>SUM(B58:B60)</f>
        <v>12745725</v>
      </c>
      <c r="C61" s="32"/>
      <c r="D61" s="77">
        <f>SUM(D58:D60)</f>
        <v>11117773</v>
      </c>
      <c r="E61" s="32"/>
      <c r="F61" s="64">
        <f>SUM(F58:F60)</f>
        <v>7790187</v>
      </c>
      <c r="G61" s="89">
        <f>SUM(G58:G60)</f>
        <v>-3327586</v>
      </c>
      <c r="H61" s="14"/>
    </row>
    <row r="62" spans="1:8" ht="18" thickBot="1">
      <c r="A62" s="34" t="s">
        <v>41</v>
      </c>
      <c r="B62" s="78">
        <f>B46+B54+B61</f>
        <v>370454738</v>
      </c>
      <c r="C62" s="35"/>
      <c r="D62" s="78">
        <f>D46+D54+D61</f>
        <v>309850844</v>
      </c>
      <c r="E62" s="36"/>
      <c r="F62" s="65">
        <f>F46+F54+F61</f>
        <v>324711758</v>
      </c>
      <c r="G62" s="91">
        <f>F62-D62</f>
        <v>14860914</v>
      </c>
      <c r="H62" s="14"/>
    </row>
    <row r="63" spans="1:8" ht="18" thickTop="1">
      <c r="A63" s="21"/>
      <c r="B63" s="46"/>
      <c r="C63" s="26"/>
      <c r="D63" s="37"/>
      <c r="E63" s="37"/>
      <c r="F63" s="38"/>
      <c r="G63" s="43"/>
      <c r="H63" s="14"/>
    </row>
    <row r="64" spans="1:8" ht="17.25">
      <c r="A64" s="18"/>
      <c r="B64" s="19"/>
      <c r="C64" s="39"/>
      <c r="D64" s="19"/>
      <c r="E64" s="39"/>
      <c r="F64" s="20"/>
      <c r="G64" s="20"/>
      <c r="H64" s="14"/>
    </row>
    <row r="65" spans="1:8" ht="17.25">
      <c r="A65" s="49" t="s">
        <v>46</v>
      </c>
      <c r="B65" s="26"/>
      <c r="C65" s="50"/>
      <c r="D65" s="51"/>
      <c r="E65" s="51"/>
      <c r="F65" s="52"/>
      <c r="G65" s="52"/>
      <c r="H65" s="14"/>
    </row>
    <row r="66" spans="1:8" ht="17.25">
      <c r="A66" s="48" t="s">
        <v>54</v>
      </c>
      <c r="B66" s="40"/>
      <c r="C66" s="41"/>
      <c r="D66" s="42"/>
      <c r="E66" s="40"/>
      <c r="F66" s="42"/>
      <c r="G66" s="92"/>
      <c r="H66" s="14"/>
    </row>
    <row r="67" spans="1:8" ht="17.25">
      <c r="A67" s="21" t="s">
        <v>45</v>
      </c>
      <c r="B67" s="26"/>
      <c r="C67" s="26"/>
      <c r="D67" s="43"/>
      <c r="E67" s="26"/>
      <c r="F67" s="43"/>
      <c r="G67" s="43"/>
      <c r="H67" s="26"/>
    </row>
    <row r="68" spans="1:8" ht="17.25">
      <c r="A68" s="18" t="s">
        <v>47</v>
      </c>
      <c r="B68" s="44"/>
      <c r="C68" s="44"/>
      <c r="D68" s="44"/>
      <c r="E68" s="44"/>
      <c r="F68" s="45"/>
      <c r="G68" s="20"/>
      <c r="H68" s="14"/>
    </row>
    <row r="69" spans="1:8" ht="17.25">
      <c r="E69" s="4"/>
      <c r="G69" s="14"/>
      <c r="H69" s="14"/>
    </row>
    <row r="70" spans="1:8" ht="17.25">
      <c r="B70">
        <f>B62-B36</f>
        <v>0</v>
      </c>
      <c r="D70">
        <f>D62-D36</f>
        <v>0</v>
      </c>
      <c r="E70" s="4"/>
      <c r="F70">
        <f>F62-F36</f>
        <v>0</v>
      </c>
      <c r="G70" s="14"/>
      <c r="H70" s="14"/>
    </row>
    <row r="71" spans="1:8" ht="17.25">
      <c r="E71" s="4"/>
      <c r="G71" s="14"/>
      <c r="H71" s="14"/>
    </row>
  </sheetData>
  <printOptions horizontalCentered="1" verticalCentered="1"/>
  <pageMargins left="0.5" right="0.5" top="0" bottom="0" header="0.25" footer="0.25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75" zoomScaleNormal="75" workbookViewId="0">
      <selection activeCell="A47" sqref="A47"/>
    </sheetView>
  </sheetViews>
  <sheetFormatPr defaultRowHeight="15"/>
  <cols>
    <col min="1" max="1" width="52.109375" customWidth="1"/>
    <col min="2" max="2" width="10.88671875" customWidth="1"/>
    <col min="3" max="3" width="11.33203125" customWidth="1"/>
    <col min="4" max="4" width="12.109375" customWidth="1"/>
    <col min="5" max="5" width="20" customWidth="1"/>
  </cols>
  <sheetData>
    <row r="1" spans="1:5">
      <c r="A1" s="93"/>
      <c r="B1" s="93"/>
      <c r="C1" s="93"/>
      <c r="D1" s="93"/>
      <c r="E1" s="93"/>
    </row>
    <row r="2" spans="1:5" ht="15.75">
      <c r="A2" s="143" t="s">
        <v>57</v>
      </c>
      <c r="B2" s="143"/>
      <c r="C2" s="143"/>
      <c r="D2" s="143"/>
      <c r="E2" s="144"/>
    </row>
    <row r="3" spans="1:5">
      <c r="A3" s="93"/>
      <c r="B3" s="93"/>
      <c r="C3" s="93"/>
      <c r="D3" s="93"/>
      <c r="E3" s="93"/>
    </row>
    <row r="4" spans="1:5">
      <c r="A4" s="93"/>
      <c r="B4" s="93"/>
      <c r="C4" s="93"/>
      <c r="D4" s="93"/>
      <c r="E4" s="93"/>
    </row>
    <row r="5" spans="1:5" ht="15.75" thickBot="1">
      <c r="A5" s="94"/>
      <c r="B5" s="95"/>
      <c r="C5" s="94"/>
      <c r="D5" s="94"/>
      <c r="E5" s="94"/>
    </row>
    <row r="6" spans="1:5" ht="20.25">
      <c r="A6" s="131" t="s">
        <v>1</v>
      </c>
      <c r="B6" s="132"/>
      <c r="C6" s="133"/>
      <c r="D6" s="133"/>
      <c r="E6" s="134"/>
    </row>
    <row r="7" spans="1:5" ht="20.25">
      <c r="A7" s="135" t="s">
        <v>58</v>
      </c>
      <c r="B7" s="136"/>
      <c r="C7" s="137"/>
      <c r="D7" s="137"/>
      <c r="E7" s="137"/>
    </row>
    <row r="8" spans="1:5" ht="20.25">
      <c r="A8" s="135" t="s">
        <v>59</v>
      </c>
      <c r="B8" s="136"/>
      <c r="C8" s="137"/>
      <c r="D8" s="137"/>
      <c r="E8" s="137"/>
    </row>
    <row r="9" spans="1:5" ht="20.25">
      <c r="A9" s="138" t="s">
        <v>60</v>
      </c>
      <c r="B9" s="136"/>
      <c r="C9" s="137"/>
      <c r="D9" s="137"/>
      <c r="E9" s="137"/>
    </row>
    <row r="10" spans="1:5" ht="20.25">
      <c r="A10" s="135" t="s">
        <v>61</v>
      </c>
      <c r="B10" s="136"/>
      <c r="C10" s="137"/>
      <c r="D10" s="137"/>
      <c r="E10" s="137"/>
    </row>
    <row r="11" spans="1:5" ht="18" thickBot="1">
      <c r="A11" s="139"/>
      <c r="B11" s="140"/>
      <c r="C11" s="141"/>
      <c r="D11" s="141"/>
      <c r="E11" s="142"/>
    </row>
    <row r="12" spans="1:5" ht="18" thickBot="1">
      <c r="A12" s="96"/>
      <c r="B12" s="97" t="s">
        <v>62</v>
      </c>
      <c r="C12" s="129"/>
      <c r="D12" s="129" t="s">
        <v>63</v>
      </c>
      <c r="E12" s="130"/>
    </row>
    <row r="13" spans="1:5" ht="34.5">
      <c r="A13" s="98" t="s">
        <v>3</v>
      </c>
      <c r="B13" s="99"/>
      <c r="C13" s="100">
        <v>41318</v>
      </c>
      <c r="D13" s="100">
        <v>41332</v>
      </c>
      <c r="E13" s="101" t="s">
        <v>64</v>
      </c>
    </row>
    <row r="14" spans="1:5" ht="17.25">
      <c r="A14" s="98"/>
      <c r="B14" s="102"/>
      <c r="C14" s="103"/>
      <c r="D14" s="103"/>
      <c r="E14" s="104"/>
    </row>
    <row r="15" spans="1:5" ht="17.25">
      <c r="A15" s="105" t="s">
        <v>65</v>
      </c>
      <c r="B15" s="106"/>
      <c r="C15" s="103"/>
      <c r="D15" s="103"/>
      <c r="E15" s="107"/>
    </row>
    <row r="16" spans="1:5" ht="17.25">
      <c r="A16" s="98"/>
      <c r="B16" s="108"/>
      <c r="C16" s="109"/>
      <c r="D16" s="109"/>
      <c r="E16" s="107">
        <v>242.62</v>
      </c>
    </row>
    <row r="17" spans="1:5" ht="17.25">
      <c r="A17" s="110" t="s">
        <v>66</v>
      </c>
      <c r="B17" s="108"/>
      <c r="C17" s="109">
        <v>971.24</v>
      </c>
      <c r="D17" s="109">
        <f>[1]INCOME!C16+[1]INCOME!C17+[1]INCOME!C18+[1]INCOME!C19+[1]INCOME!C20+[1]INCOME!C21+[1]INCOME!C22+[1]INCOME!C23</f>
        <v>1304.33</v>
      </c>
      <c r="E17" s="107">
        <f>+D17-C17</f>
        <v>333.08999999999992</v>
      </c>
    </row>
    <row r="18" spans="1:5" ht="17.25">
      <c r="A18" s="110" t="s">
        <v>67</v>
      </c>
      <c r="B18" s="108"/>
      <c r="C18" s="109">
        <v>132.86000000000001</v>
      </c>
      <c r="D18" s="109">
        <f>[1]INCOME!C24</f>
        <v>178.9</v>
      </c>
      <c r="E18" s="107">
        <f>+D18-C18</f>
        <v>46.039999999999992</v>
      </c>
    </row>
    <row r="19" spans="1:5" ht="17.25">
      <c r="A19" s="110" t="s">
        <v>68</v>
      </c>
      <c r="B19" s="111"/>
      <c r="C19" s="112">
        <v>0.02</v>
      </c>
      <c r="D19" s="112">
        <f>[1]INCOME!C28+[1]INCOME!C29</f>
        <v>0.02</v>
      </c>
      <c r="E19" s="107">
        <f>+D19-C19</f>
        <v>0</v>
      </c>
    </row>
    <row r="20" spans="1:5" ht="17.25">
      <c r="A20" s="110" t="s">
        <v>69</v>
      </c>
      <c r="B20" s="108"/>
      <c r="C20" s="109">
        <v>25.49</v>
      </c>
      <c r="D20" s="109">
        <f>[1]INCOME!C25</f>
        <v>32.35</v>
      </c>
      <c r="E20" s="107">
        <f>+D20-C20</f>
        <v>6.860000000000003</v>
      </c>
    </row>
    <row r="21" spans="1:5" ht="17.25">
      <c r="A21" s="98"/>
      <c r="B21" s="108"/>
      <c r="C21" s="109"/>
      <c r="D21" s="109"/>
      <c r="E21" s="107"/>
    </row>
    <row r="22" spans="1:5" ht="17.25">
      <c r="A22" s="105" t="s">
        <v>70</v>
      </c>
      <c r="B22" s="113" t="s">
        <v>71</v>
      </c>
      <c r="C22" s="114">
        <f>SUM(C17:C20)</f>
        <v>1129.6099999999999</v>
      </c>
      <c r="D22" s="114">
        <f>SUM(D17:D20)</f>
        <v>1515.6</v>
      </c>
      <c r="E22" s="115">
        <f>SUM(E17:E20)</f>
        <v>385.9899999999999</v>
      </c>
    </row>
    <row r="23" spans="1:5" ht="17.25">
      <c r="A23" s="105"/>
      <c r="B23" s="113"/>
      <c r="C23" s="109"/>
      <c r="D23" s="109"/>
      <c r="E23" s="107"/>
    </row>
    <row r="24" spans="1:5" ht="17.25">
      <c r="A24" s="105" t="s">
        <v>72</v>
      </c>
      <c r="B24" s="113"/>
      <c r="C24" s="109"/>
      <c r="D24" s="109"/>
      <c r="E24" s="107"/>
    </row>
    <row r="25" spans="1:5" ht="17.25">
      <c r="A25" s="98"/>
      <c r="B25" s="113"/>
      <c r="C25" s="109"/>
      <c r="D25" s="109"/>
      <c r="E25" s="107"/>
    </row>
    <row r="26" spans="1:5" ht="17.25">
      <c r="A26" s="98" t="s">
        <v>73</v>
      </c>
      <c r="B26" s="113"/>
      <c r="C26" s="109">
        <v>342.14</v>
      </c>
      <c r="D26" s="109">
        <f>[1]EXPENSES!C23</f>
        <v>658.06000000000006</v>
      </c>
      <c r="E26" s="107">
        <f>+D26-C26</f>
        <v>315.92000000000007</v>
      </c>
    </row>
    <row r="27" spans="1:5" ht="17.25">
      <c r="A27" s="98" t="s">
        <v>74</v>
      </c>
      <c r="B27" s="113"/>
      <c r="C27" s="109">
        <v>100.53</v>
      </c>
      <c r="D27" s="109">
        <f>[1]EXPENSES!C28+[1]EXPENSES!C29+[1]EXPENSES!C30</f>
        <v>127.33000000000001</v>
      </c>
      <c r="E27" s="107">
        <f>+D27-C27</f>
        <v>26.800000000000011</v>
      </c>
    </row>
    <row r="28" spans="1:5" ht="17.25">
      <c r="A28" s="98" t="s">
        <v>75</v>
      </c>
      <c r="B28" s="113"/>
      <c r="C28" s="109">
        <v>68.52000000000001</v>
      </c>
      <c r="D28" s="109">
        <f>[1]EXPENSES!C35</f>
        <v>138.42000000000002</v>
      </c>
      <c r="E28" s="107">
        <f>+D28-C28</f>
        <v>69.900000000000006</v>
      </c>
    </row>
    <row r="29" spans="1:5" ht="17.25">
      <c r="A29" s="98" t="s">
        <v>76</v>
      </c>
      <c r="B29" s="113"/>
      <c r="C29" s="109">
        <v>307.68</v>
      </c>
      <c r="D29" s="109">
        <f>[1]EXPENSES!C31</f>
        <v>423.37</v>
      </c>
      <c r="E29" s="107">
        <f>+D29-C29</f>
        <v>115.69</v>
      </c>
    </row>
    <row r="30" spans="1:5" ht="17.25">
      <c r="A30" s="105"/>
      <c r="B30" s="113"/>
      <c r="C30" s="109"/>
      <c r="D30" s="109"/>
      <c r="E30" s="107"/>
    </row>
    <row r="31" spans="1:5" ht="17.25">
      <c r="A31" s="105" t="s">
        <v>77</v>
      </c>
      <c r="B31" s="113" t="s">
        <v>78</v>
      </c>
      <c r="C31" s="114">
        <f>SUM(C26:C29)</f>
        <v>818.86999999999989</v>
      </c>
      <c r="D31" s="114">
        <f>SUM(D26:D29)</f>
        <v>1347.1800000000003</v>
      </c>
      <c r="E31" s="115">
        <f>SUM(E26:E29)</f>
        <v>528.31000000000017</v>
      </c>
    </row>
    <row r="32" spans="1:5" ht="17.25">
      <c r="A32" s="105"/>
      <c r="B32" s="113"/>
      <c r="C32" s="116"/>
      <c r="D32" s="116"/>
      <c r="E32" s="107"/>
    </row>
    <row r="33" spans="1:5" ht="17.25">
      <c r="A33" s="117" t="s">
        <v>79</v>
      </c>
      <c r="B33" s="118"/>
      <c r="C33" s="119">
        <f>C22-C31</f>
        <v>310.74</v>
      </c>
      <c r="D33" s="119">
        <f>D22-D31</f>
        <v>168.41999999999962</v>
      </c>
      <c r="E33" s="119">
        <f>E22-E31</f>
        <v>-142.32000000000028</v>
      </c>
    </row>
    <row r="34" spans="1:5" ht="17.25">
      <c r="A34" s="120"/>
      <c r="B34" s="113"/>
      <c r="C34" s="114"/>
      <c r="D34" s="114"/>
      <c r="E34" s="115"/>
    </row>
    <row r="35" spans="1:5" ht="17.25">
      <c r="A35" s="105" t="s">
        <v>80</v>
      </c>
      <c r="B35" s="113"/>
      <c r="C35" s="121">
        <v>996.61</v>
      </c>
      <c r="D35" s="116">
        <v>2143.2600000000002</v>
      </c>
      <c r="E35" s="115">
        <f>+D35-C35</f>
        <v>1146.6500000000001</v>
      </c>
    </row>
    <row r="36" spans="1:5" ht="17.25">
      <c r="A36" s="105"/>
      <c r="B36" s="113"/>
      <c r="C36" s="121"/>
      <c r="D36" s="116"/>
      <c r="E36" s="115"/>
    </row>
    <row r="37" spans="1:5" ht="17.25">
      <c r="A37" s="122" t="s">
        <v>81</v>
      </c>
      <c r="B37" s="123"/>
      <c r="C37" s="124">
        <f>+C33+C35</f>
        <v>1307.3499999999999</v>
      </c>
      <c r="D37" s="119">
        <f>+D33+D35</f>
        <v>2311.6799999999998</v>
      </c>
      <c r="E37" s="125">
        <f t="shared" ref="E37" si="0">+D37-C37</f>
        <v>1004.3299999999999</v>
      </c>
    </row>
    <row r="38" spans="1:5" ht="17.25">
      <c r="A38" s="105"/>
      <c r="B38" s="113"/>
      <c r="C38" s="121"/>
      <c r="D38" s="116"/>
      <c r="E38" s="115"/>
    </row>
    <row r="39" spans="1:5" ht="17.25">
      <c r="A39" s="105" t="s">
        <v>82</v>
      </c>
      <c r="B39" s="113"/>
      <c r="C39" s="121">
        <v>0</v>
      </c>
      <c r="D39" s="116">
        <v>18967</v>
      </c>
      <c r="E39" s="115">
        <f>+D39-C39</f>
        <v>18967</v>
      </c>
    </row>
    <row r="40" spans="1:5" ht="17.25">
      <c r="A40" s="105"/>
      <c r="B40" s="113"/>
      <c r="C40" s="109"/>
      <c r="D40" s="109"/>
      <c r="E40" s="107"/>
    </row>
    <row r="41" spans="1:5" ht="18" thickBot="1">
      <c r="A41" s="126" t="s">
        <v>83</v>
      </c>
      <c r="B41" s="127"/>
      <c r="C41" s="128">
        <f>+C33+C35-C39</f>
        <v>1307.3499999999999</v>
      </c>
      <c r="D41" s="128">
        <f>+D33+D35-D39</f>
        <v>-16655.32</v>
      </c>
      <c r="E41" s="128">
        <f>+E33+E35-E39</f>
        <v>-17962.670000000002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 - 08 May 2013</vt:lpstr>
      <vt:lpstr>DEFERRED FRAN NOTES CHRG TO RES</vt:lpstr>
      <vt:lpstr>DEFERRED FRAN NOTES CHRG TO P&amp;L</vt:lpstr>
      <vt:lpstr>P&amp;L-DEFERRED FRAN NOTES CHRG </vt:lpstr>
      <vt:lpstr>'Balance Sheet - 08 May 2013'!Print_Area</vt:lpstr>
      <vt:lpstr>'DEFERRED FRAN NOTES CHRG TO P&amp;L'!Print_Area</vt:lpstr>
      <vt:lpstr>'DEFERRED FRAN NOTES CHRG TO RES'!Print_Area</vt:lpstr>
      <vt:lpstr>Print_Area</vt:lpstr>
    </vt:vector>
  </TitlesOfParts>
  <Company>Bank of Jamaica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ReynardW</dc:creator>
  <cp:lastModifiedBy>Rowena Atkinson</cp:lastModifiedBy>
  <cp:lastPrinted>2013-05-16T21:45:21Z</cp:lastPrinted>
  <dcterms:created xsi:type="dcterms:W3CDTF">2009-02-04T22:27:27Z</dcterms:created>
  <dcterms:modified xsi:type="dcterms:W3CDTF">2013-05-22T16:11:46Z</dcterms:modified>
</cp:coreProperties>
</file>